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pech\Documents\Easy Lyon\Elycoop\AAA fiches Wiki\Documents Nextcloud\"/>
    </mc:Choice>
  </mc:AlternateContent>
  <xr:revisionPtr revIDLastSave="0" documentId="13_ncr:1_{00CE486A-81F3-403C-9456-5D1B6CED6047}" xr6:coauthVersionLast="47" xr6:coauthVersionMax="47" xr10:uidLastSave="{00000000-0000-0000-0000-000000000000}"/>
  <bookViews>
    <workbookView xWindow="-28920" yWindow="-2865" windowWidth="29040" windowHeight="15840" xr2:uid="{00000000-000D-0000-FFFF-FFFF00000000}"/>
  </bookViews>
  <sheets>
    <sheet name="Notice" sheetId="1" r:id="rId1"/>
    <sheet name="CA_mini_tps" sheetId="2" r:id="rId2"/>
    <sheet name="Frais_fct" sheetId="3" r:id="rId3"/>
    <sheet name="Mix_prix_presta" sheetId="4" r:id="rId4"/>
    <sheet name="Feuil1" sheetId="5" state="hidden" r:id="rId5"/>
    <sheet name="Grille de tarif" sheetId="6" r:id="rId6"/>
    <sheet name="Biblio1" sheetId="7" r:id="rId7"/>
  </sheets>
  <definedNames>
    <definedName name="_xlnm.Print_Area" localSheetId="1">CA_mini_tps!$A$1:$J$56</definedName>
    <definedName name="_xlnm.Print_Area" localSheetId="5">'Grille de tarif'!$A$1:$H$49</definedName>
    <definedName name="_xlnm.Print_Area" localSheetId="3">Mix_prix_presta!$A$1:$R$79</definedName>
  </definedNames>
  <calcPr calcId="191029"/>
  <pivotCaches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G79" i="4"/>
  <c r="E79" i="4"/>
  <c r="C79" i="4"/>
  <c r="E73" i="4"/>
  <c r="C73" i="4"/>
  <c r="B73" i="4"/>
  <c r="A73" i="4"/>
  <c r="C72" i="4"/>
  <c r="B72" i="4"/>
  <c r="A72" i="4"/>
  <c r="C71" i="4"/>
  <c r="B71" i="4"/>
  <c r="A71" i="4"/>
  <c r="C70" i="4"/>
  <c r="B70" i="4"/>
  <c r="A70" i="4"/>
  <c r="E69" i="4"/>
  <c r="C69" i="4"/>
  <c r="B69" i="4"/>
  <c r="A69" i="4"/>
  <c r="E68" i="4"/>
  <c r="C68" i="4"/>
  <c r="B68" i="4"/>
  <c r="A68" i="4"/>
  <c r="C67" i="4"/>
  <c r="B67" i="4"/>
  <c r="A67" i="4"/>
  <c r="C66" i="4"/>
  <c r="B66" i="4"/>
  <c r="A66" i="4"/>
  <c r="E65" i="4"/>
  <c r="C65" i="4"/>
  <c r="B65" i="4"/>
  <c r="A65" i="4"/>
  <c r="E64" i="4"/>
  <c r="C64" i="4"/>
  <c r="B64" i="4"/>
  <c r="A64" i="4"/>
  <c r="H59" i="4"/>
  <c r="G73" i="4" s="1"/>
  <c r="F59" i="4"/>
  <c r="E70" i="4" s="1"/>
  <c r="G57" i="4"/>
  <c r="H56" i="4" s="1"/>
  <c r="E57" i="4"/>
  <c r="F57" i="4" s="1"/>
  <c r="C57" i="4"/>
  <c r="D56" i="4" s="1"/>
  <c r="B56" i="4"/>
  <c r="B55" i="4"/>
  <c r="B54" i="4"/>
  <c r="B53" i="4"/>
  <c r="B52" i="4"/>
  <c r="B51" i="4"/>
  <c r="B50" i="4"/>
  <c r="B49" i="4"/>
  <c r="B48" i="4"/>
  <c r="B47" i="4"/>
  <c r="B39" i="4"/>
  <c r="H38" i="4"/>
  <c r="B38" i="4"/>
  <c r="H37" i="4"/>
  <c r="B37" i="4"/>
  <c r="H36" i="4"/>
  <c r="B36" i="4"/>
  <c r="H35" i="4"/>
  <c r="B35" i="4"/>
  <c r="H34" i="4"/>
  <c r="B34" i="4"/>
  <c r="H33" i="4"/>
  <c r="B33" i="4"/>
  <c r="H32" i="4"/>
  <c r="B32" i="4"/>
  <c r="H31" i="4"/>
  <c r="B31" i="4"/>
  <c r="B30" i="4"/>
  <c r="H24" i="4"/>
  <c r="J23" i="4"/>
  <c r="H23" i="4"/>
  <c r="I23" i="4" s="1"/>
  <c r="J22" i="4"/>
  <c r="H22" i="4"/>
  <c r="I22" i="4" s="1"/>
  <c r="J21" i="4"/>
  <c r="H21" i="4"/>
  <c r="I21" i="4" s="1"/>
  <c r="J20" i="4"/>
  <c r="I20" i="4"/>
  <c r="H20" i="4"/>
  <c r="J19" i="4"/>
  <c r="H19" i="4"/>
  <c r="I19" i="4" s="1"/>
  <c r="J18" i="4"/>
  <c r="H18" i="4"/>
  <c r="I18" i="4" s="1"/>
  <c r="J17" i="4"/>
  <c r="H17" i="4"/>
  <c r="I17" i="4" s="1"/>
  <c r="J16" i="4"/>
  <c r="H16" i="4"/>
  <c r="H15" i="4"/>
  <c r="I15" i="4" s="1"/>
  <c r="J15" i="4" s="1"/>
  <c r="C18" i="3"/>
  <c r="C16" i="2" s="1"/>
  <c r="H16" i="2" s="1"/>
  <c r="D17" i="3"/>
  <c r="D15" i="3"/>
  <c r="D14" i="3"/>
  <c r="D13" i="3"/>
  <c r="D12" i="3"/>
  <c r="D11" i="3"/>
  <c r="D10" i="3"/>
  <c r="D9" i="3"/>
  <c r="D8" i="3"/>
  <c r="D7" i="3"/>
  <c r="D6" i="3"/>
  <c r="D5" i="3"/>
  <c r="B57" i="2"/>
  <c r="F49" i="2"/>
  <c r="F48" i="2"/>
  <c r="B48" i="2"/>
  <c r="D47" i="2"/>
  <c r="G49" i="2" s="1"/>
  <c r="C47" i="2"/>
  <c r="D46" i="2"/>
  <c r="G48" i="2" s="1"/>
  <c r="C46" i="2"/>
  <c r="D45" i="2"/>
  <c r="G47" i="2" s="1"/>
  <c r="H47" i="2" s="1"/>
  <c r="C45" i="2"/>
  <c r="C31" i="2"/>
  <c r="C30" i="2"/>
  <c r="H29" i="2" s="1"/>
  <c r="G21" i="2"/>
  <c r="N18" i="2"/>
  <c r="S17" i="2"/>
  <c r="R17" i="2"/>
  <c r="N17" i="2"/>
  <c r="O17" i="2" s="1"/>
  <c r="S15" i="2"/>
  <c r="R15" i="2"/>
  <c r="H11" i="2"/>
  <c r="G11" i="2" s="1"/>
  <c r="C74" i="4"/>
  <c r="E74" i="4"/>
  <c r="G74" i="4"/>
  <c r="G67" i="4" l="1"/>
  <c r="G64" i="4"/>
  <c r="G68" i="4"/>
  <c r="G72" i="4"/>
  <c r="G75" i="4" s="1"/>
  <c r="H75" i="4" s="1"/>
  <c r="G66" i="4"/>
  <c r="E67" i="4"/>
  <c r="G70" i="4"/>
  <c r="E71" i="4"/>
  <c r="E72" i="4"/>
  <c r="G71" i="4"/>
  <c r="G65" i="4"/>
  <c r="E66" i="4"/>
  <c r="E75" i="4" s="1"/>
  <c r="F75" i="4" s="1"/>
  <c r="G69" i="4"/>
  <c r="O18" i="2"/>
  <c r="C75" i="4"/>
  <c r="D75" i="4" s="1"/>
  <c r="F47" i="4"/>
  <c r="F55" i="4"/>
  <c r="F53" i="4"/>
  <c r="F52" i="4"/>
  <c r="F49" i="4"/>
  <c r="F51" i="4"/>
  <c r="F50" i="4"/>
  <c r="F54" i="4"/>
  <c r="F48" i="4"/>
  <c r="F56" i="4"/>
  <c r="D18" i="3"/>
  <c r="H48" i="2"/>
  <c r="H49" i="2"/>
  <c r="C48" i="2"/>
  <c r="D48" i="2"/>
  <c r="G16" i="2"/>
  <c r="H12" i="2"/>
  <c r="D47" i="4"/>
  <c r="D49" i="4"/>
  <c r="D51" i="4"/>
  <c r="D53" i="4"/>
  <c r="D55" i="4"/>
  <c r="D57" i="4"/>
  <c r="H28" i="2"/>
  <c r="O19" i="2"/>
  <c r="G29" i="2"/>
  <c r="I16" i="4"/>
  <c r="I24" i="4"/>
  <c r="J24" i="4" s="1"/>
  <c r="G28" i="2"/>
  <c r="H47" i="4"/>
  <c r="H49" i="4"/>
  <c r="H51" i="4"/>
  <c r="H53" i="4"/>
  <c r="H55" i="4"/>
  <c r="D48" i="4"/>
  <c r="D50" i="4"/>
  <c r="D52" i="4"/>
  <c r="D54" i="4"/>
  <c r="H57" i="4"/>
  <c r="H48" i="4"/>
  <c r="H50" i="4"/>
  <c r="H52" i="4"/>
  <c r="H54" i="4"/>
  <c r="F64" i="4" l="1"/>
  <c r="D64" i="4"/>
  <c r="F69" i="4"/>
  <c r="H73" i="4"/>
  <c r="H71" i="4"/>
  <c r="H66" i="4"/>
  <c r="F70" i="4"/>
  <c r="F68" i="4"/>
  <c r="F72" i="4"/>
  <c r="H65" i="4"/>
  <c r="H69" i="4"/>
  <c r="F66" i="4"/>
  <c r="F71" i="4"/>
  <c r="H64" i="4"/>
  <c r="F74" i="4"/>
  <c r="F73" i="4"/>
  <c r="H74" i="4"/>
  <c r="D73" i="4"/>
  <c r="G12" i="2"/>
  <c r="H13" i="2"/>
  <c r="D71" i="4"/>
  <c r="H68" i="4"/>
  <c r="D69" i="4"/>
  <c r="D72" i="4"/>
  <c r="D66" i="4"/>
  <c r="D38" i="4"/>
  <c r="E38" i="4" s="1"/>
  <c r="F38" i="4" s="1"/>
  <c r="G38" i="4" s="1"/>
  <c r="D34" i="4"/>
  <c r="E34" i="4" s="1"/>
  <c r="F34" i="4" s="1"/>
  <c r="G34" i="4" s="1"/>
  <c r="D30" i="4"/>
  <c r="E30" i="4" s="1"/>
  <c r="F30" i="4" s="1"/>
  <c r="G30" i="4" s="1"/>
  <c r="H30" i="4" s="1"/>
  <c r="D39" i="4"/>
  <c r="E39" i="4" s="1"/>
  <c r="F39" i="4" s="1"/>
  <c r="G39" i="4" s="1"/>
  <c r="H39" i="4" s="1"/>
  <c r="D35" i="4"/>
  <c r="E35" i="4" s="1"/>
  <c r="F35" i="4" s="1"/>
  <c r="G35" i="4" s="1"/>
  <c r="D31" i="4"/>
  <c r="E31" i="4" s="1"/>
  <c r="F31" i="4" s="1"/>
  <c r="G31" i="4" s="1"/>
  <c r="D36" i="4"/>
  <c r="E36" i="4" s="1"/>
  <c r="F36" i="4" s="1"/>
  <c r="G36" i="4" s="1"/>
  <c r="D32" i="4"/>
  <c r="E32" i="4" s="1"/>
  <c r="F32" i="4" s="1"/>
  <c r="G32" i="4" s="1"/>
  <c r="D33" i="4"/>
  <c r="E33" i="4" s="1"/>
  <c r="F33" i="4" s="1"/>
  <c r="G33" i="4" s="1"/>
  <c r="D37" i="4"/>
  <c r="E37" i="4" s="1"/>
  <c r="F37" i="4" s="1"/>
  <c r="G37" i="4" s="1"/>
  <c r="D70" i="4"/>
  <c r="F65" i="4"/>
  <c r="H67" i="4"/>
  <c r="H70" i="4"/>
  <c r="D68" i="4"/>
  <c r="D65" i="4"/>
  <c r="D67" i="4"/>
  <c r="H72" i="4"/>
  <c r="F67" i="4"/>
  <c r="D74" i="4"/>
  <c r="G13" i="2" l="1"/>
  <c r="H14" i="2"/>
  <c r="G14" i="2" s="1"/>
  <c r="G15" i="2" l="1"/>
  <c r="H15" i="2"/>
  <c r="R16" i="2" l="1"/>
  <c r="H19" i="2" s="1"/>
  <c r="S16" i="2"/>
  <c r="H18" i="2" l="1"/>
  <c r="G19" i="2"/>
  <c r="G18" i="2" l="1"/>
  <c r="H20" i="2"/>
  <c r="G20" i="2" l="1"/>
  <c r="G22" i="2" s="1"/>
  <c r="H22" i="2"/>
  <c r="H17" i="2"/>
  <c r="G17" i="2" s="1"/>
  <c r="I16" i="2"/>
  <c r="C18" i="2" l="1"/>
  <c r="C77" i="4"/>
  <c r="E7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tc={00EF0071-001A-4211-92E2-005500FF00F8}</author>
    <author>tc={00FF0096-0055-4810-BD88-00EF00B10033}</author>
    <author>tc={00610081-00C3-40B3-998A-0088003C00CC}</author>
  </authors>
  <commentList>
    <comment ref="G22" authorId="0" shapeId="0" xr:uid="{00EF0071-001A-4211-92E2-005500FF00F8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un mois de repos ! Pour bien entreprendre, il faut se reposer aussi ;-)
</t>
      </text>
    </comment>
    <comment ref="B44" authorId="1" shapeId="0" xr:uid="{00FF0096-0055-4810-BD88-00EF00B1003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Possibilité de fixer un prix par produit ou contrat
</t>
      </text>
    </comment>
    <comment ref="B56" authorId="2" shapeId="0" xr:uid="{00610081-00C3-40B3-998A-0088003C00C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statistiques moyenne (à relativiser par activité)
Processus de commercialisation via le téléphone : 3 ventes pour 100 prospection
Prise de RDV tél :                100
RDV de découverte obtenu :  20
Débouchant sur une démo :     8
Débouchant sur 1 rdv contrat : 5
Débouchant sur 1 vente :        3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tc={00EF00AB-00C7-4C23-9AC3-00EB008D00F8}</author>
  </authors>
  <commentList>
    <comment ref="C77" authorId="0" shapeId="0" xr:uid="{00EF00AB-00C7-4C23-9AC3-00EB008D00F8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Seuil de rentabilité annuel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tc={003800E5-0054-4935-B952-00A9006E00D2}</author>
    <author>tc={001E0083-0045-4D26-B2D6-00D4000C0082}</author>
    <author>tc={005400B7-0083-475C-981E-00ED000600A8}</author>
    <author>tc={00290017-00F7-47F6-A424-007500330003}</author>
  </authors>
  <commentList>
    <comment ref="C32" authorId="0" shapeId="0" xr:uid="{003800E5-0054-4935-B952-00A9006E00D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UNITES DE VENTE :
- Forfait
- Taux horaire
- Prix jour
</t>
      </text>
    </comment>
    <comment ref="D32" authorId="1" shapeId="0" xr:uid="{001E0083-0045-4D26-B2D6-00D4000C008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TYPOLOGIE CLIENTS :
- Particuliers
- Professionnels
- Secteurs d'activité
- Zones géographiques
</t>
      </text>
    </comment>
    <comment ref="E32" authorId="2" shapeId="0" xr:uid="{005400B7-0083-475C-981E-00ED000600A8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QUANTITE DE VENTE :
- dégrssivité des prix par quantité commandée
</t>
      </text>
    </comment>
    <comment ref="F32" authorId="3" shapeId="0" xr:uid="{00290017-00F7-47F6-A424-00750033000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FREQUENCE :
- clients très réguliers
- clients très ponctuels
</t>
      </text>
    </comment>
  </commentList>
</comments>
</file>

<file path=xl/sharedStrings.xml><?xml version="1.0" encoding="utf-8"?>
<sst xmlns="http://schemas.openxmlformats.org/spreadsheetml/2006/main" count="248" uniqueCount="203">
  <si>
    <t>Mot de passe pour déverouiller le fichier : Elycoop</t>
  </si>
  <si>
    <t>Cet outil a 2 vocations : il permet de concevoir la grille de prix de son offre commerciale sur la base d'objectifs personnels (rémunération, temps de travail) et du modèle économique de son activité.</t>
  </si>
  <si>
    <t>Dans une logique de prévisionnel, il permet également de visualiser les chiffres clés de son modèle économique.</t>
  </si>
  <si>
    <t xml:space="preserve">1/ Il faut commencer par compléter l'onglet "CA_mini_tps" en saisissant les cellules en vert : </t>
  </si>
  <si>
    <r>
      <rPr>
        <b/>
        <u/>
        <sz val="11"/>
        <color theme="1"/>
        <rFont val="Calibri"/>
        <scheme val="minor"/>
      </rPr>
      <t>Onglet "CA_mini_tps"</t>
    </r>
    <r>
      <rPr>
        <sz val="11"/>
        <color theme="1"/>
        <rFont val="Calibri"/>
        <scheme val="minor"/>
      </rPr>
      <t xml:space="preserve"> : il permet une approche globale, préambule à la définition de ses prix de vente.</t>
    </r>
  </si>
  <si>
    <t>Sur la base d'un objectif de revenu personnel / mois, de temps de travail disponible total et d'une fourchette de prix pressenti,</t>
  </si>
  <si>
    <t>on peut visualiser le CA minimum à réaliser et le temps de travail utilisé. Cet onglet donne des points de repères tant économique que organisationnel.</t>
  </si>
  <si>
    <t>Attention, cette approche raisonne sur des souhaits personnels, il est important de mettre en place des prix en cohérence avec le marché.</t>
  </si>
  <si>
    <t>En cliquant sur le "+" situé en dessus de la colonne Q vous avez accès au détail des calculs et vous pouvez visualiser vos chiffres clés prévisionnels.</t>
  </si>
  <si>
    <t>2/ Pour affiner sa grille de prix, il faut ensuite compléter par une approche plus précise</t>
  </si>
  <si>
    <r>
      <rPr>
        <b/>
        <u/>
        <sz val="11"/>
        <color theme="1"/>
        <rFont val="Calibri"/>
        <scheme val="minor"/>
      </rPr>
      <t>Onglet "Mix_prix_presta"</t>
    </r>
    <r>
      <rPr>
        <sz val="11"/>
        <color theme="1"/>
        <rFont val="Calibri"/>
        <scheme val="minor"/>
      </rPr>
      <t xml:space="preserve"> : l'approche globale donne une idée générale, or la plupart des activités ne se réalise pas avec une mono prestation.</t>
    </r>
  </si>
  <si>
    <t>En complétant les différents informations d'unité de temps, de prix, de tps passé, vous visualiserez vos marges,</t>
  </si>
  <si>
    <t>et l'impact de la répartition de vos activités sur vos CA minimum à réaliser.</t>
  </si>
  <si>
    <r>
      <t xml:space="preserve">Concernant le temps de travail, attention de bien utiliser </t>
    </r>
    <r>
      <rPr>
        <b/>
        <sz val="11"/>
        <color indexed="2"/>
        <rFont val="Calibri"/>
        <scheme val="minor"/>
      </rPr>
      <t>une unité de temps en heures</t>
    </r>
    <r>
      <rPr>
        <sz val="11"/>
        <color theme="1"/>
        <rFont val="Calibri"/>
        <scheme val="minor"/>
      </rPr>
      <t>.</t>
    </r>
  </si>
  <si>
    <t>Un rappel de CA minimum à réaliser est rappeler vers la ligne 76</t>
  </si>
  <si>
    <r>
      <rPr>
        <b/>
        <sz val="11"/>
        <color rgb="FFFFC000"/>
        <rFont val="Calibri"/>
        <scheme val="minor"/>
      </rPr>
      <t>3/ Pour arrêter votre grille de tarif, vous pouvez utiliser le document de travail "Grille de tarif"</t>
    </r>
    <r>
      <rPr>
        <sz val="11"/>
        <color theme="1"/>
        <rFont val="Calibri"/>
        <scheme val="minor"/>
      </rPr>
      <t>. Sa présentation n'est pas</t>
    </r>
  </si>
  <si>
    <t xml:space="preserve">à vocation commerciale. </t>
  </si>
  <si>
    <r>
      <rPr>
        <b/>
        <sz val="11"/>
        <color rgb="FFFFC000"/>
        <rFont val="Calibri"/>
        <scheme val="minor"/>
      </rPr>
      <t>4/ L'onglet "Repères_Prix" précise les facteurs à observer pour mettre en place ses prix de vente</t>
    </r>
    <r>
      <rPr>
        <b/>
        <sz val="11"/>
        <color theme="1"/>
        <rFont val="Calibri"/>
        <scheme val="minor"/>
      </rPr>
      <t>.</t>
    </r>
    <r>
      <rPr>
        <sz val="11"/>
        <color theme="1"/>
        <rFont val="Calibri"/>
        <scheme val="minor"/>
      </rPr>
      <t xml:space="preserve"> Cet onglet est important car les projetions</t>
    </r>
  </si>
  <si>
    <t>de votre modèle économique se réalise sur la base de vos souhaits personnels. Or, il est très important de conforter cette projection avec</t>
  </si>
  <si>
    <t>le marché (cliens, concurrents,…)</t>
  </si>
  <si>
    <r>
      <rPr>
        <b/>
        <sz val="11"/>
        <color rgb="FFFFC000"/>
        <rFont val="Calibri"/>
        <scheme val="minor"/>
      </rPr>
      <t>5/ L'onglet biblio</t>
    </r>
    <r>
      <rPr>
        <sz val="11"/>
        <color theme="1"/>
        <rFont val="Calibri"/>
        <scheme val="minor"/>
      </rPr>
      <t xml:space="preserve"> vous donne des exemples de prix et des vidéos TEDX entre autre pour vous inspirer sur votre stratégie prix.</t>
    </r>
  </si>
  <si>
    <t>Légende :</t>
  </si>
  <si>
    <t>Zone à compléter</t>
  </si>
  <si>
    <t>Je suis</t>
  </si>
  <si>
    <t>1/ Détail du seuil de rentabilité</t>
  </si>
  <si>
    <t>Part de la FP dans mon CA</t>
  </si>
  <si>
    <t>Mois</t>
  </si>
  <si>
    <t>Année</t>
  </si>
  <si>
    <t>Objectif salaire net</t>
  </si>
  <si>
    <r>
      <rPr>
        <b/>
        <u/>
        <sz val="14"/>
        <color theme="1"/>
        <rFont val="Calibri"/>
        <scheme val="minor"/>
      </rPr>
      <t>1/</t>
    </r>
    <r>
      <rPr>
        <b/>
        <u/>
        <sz val="11"/>
        <color theme="1"/>
        <rFont val="Calibri"/>
        <scheme val="minor"/>
      </rPr>
      <t xml:space="preserve"> Mes objectifs personnels et mon Chiffres d'Affaires minimum à réaliser :</t>
    </r>
  </si>
  <si>
    <r>
      <t xml:space="preserve">Salaire Brut                          </t>
    </r>
    <r>
      <rPr>
        <i/>
        <sz val="11"/>
        <rFont val="Calibri"/>
        <scheme val="minor"/>
      </rPr>
      <t>(Charges salariales à 23%)</t>
    </r>
  </si>
  <si>
    <t>Salaire Chargé                  (Charges patronales à 45%)</t>
  </si>
  <si>
    <t>Calcul CCf</t>
  </si>
  <si>
    <t xml:space="preserve">    =&gt; Quel est mon objectif de salaire net par mois ?</t>
  </si>
  <si>
    <t>Provision pour congés payés</t>
  </si>
  <si>
    <t>Q</t>
  </si>
  <si>
    <t>FST</t>
  </si>
  <si>
    <t>Coût total salaire = marge nette</t>
  </si>
  <si>
    <t>Calcul contribution coop :</t>
  </si>
  <si>
    <t>Abo</t>
  </si>
  <si>
    <t xml:space="preserve">    =&gt; Quels sont mes frais de fonctionnment par mois ?</t>
  </si>
  <si>
    <t>Frais de fonctionnement</t>
  </si>
  <si>
    <t>Marge brute</t>
  </si>
  <si>
    <t>%</t>
  </si>
  <si>
    <t>Mt max</t>
  </si>
  <si>
    <t>MB % CA</t>
  </si>
  <si>
    <t>Contribution coopérative     (tx moy à 11%)</t>
  </si>
  <si>
    <t>Jusqu'à</t>
  </si>
  <si>
    <t>Exo seuil</t>
  </si>
  <si>
    <t xml:space="preserve">   =&gt; Mon Chiffre d'Affaires à réaliser par mois est :</t>
  </si>
  <si>
    <t>Contribution coopérative additionnelle (tx moy. 3%)</t>
  </si>
  <si>
    <t>A partir de</t>
  </si>
  <si>
    <t>Marge brute nécessaire formation</t>
  </si>
  <si>
    <t>Marge brute total nécessaire</t>
  </si>
  <si>
    <t>Approvisionnements</t>
  </si>
  <si>
    <t>Chiffre d'affaires nécessaire (activité sur 11 mois)</t>
  </si>
  <si>
    <t>CCf</t>
  </si>
  <si>
    <t>Non formateur</t>
  </si>
  <si>
    <t>QUALIOPI</t>
  </si>
  <si>
    <t>Formateur QUALIOPI</t>
  </si>
  <si>
    <r>
      <rPr>
        <b/>
        <u/>
        <sz val="14"/>
        <color theme="1"/>
        <rFont val="Calibri"/>
        <scheme val="minor"/>
      </rPr>
      <t>2/</t>
    </r>
    <r>
      <rPr>
        <b/>
        <u/>
        <sz val="11"/>
        <color theme="1"/>
        <rFont val="Calibri"/>
        <scheme val="minor"/>
      </rPr>
      <t xml:space="preserve"> Mes souhaits de tps de travail :</t>
    </r>
  </si>
  <si>
    <t>2/ Précision sur le prix par unité de temps</t>
  </si>
  <si>
    <t>Droit d'intégration</t>
  </si>
  <si>
    <t>NON</t>
  </si>
  <si>
    <t>En sous-traitance exclusive</t>
  </si>
  <si>
    <t>Abo mens.</t>
  </si>
  <si>
    <t>Démarrage</t>
  </si>
  <si>
    <t xml:space="preserve">    =&gt; Quel temps de travail (tt compris) suis-je prêt à
investir dans mon projet en % de temps complet ? </t>
  </si>
  <si>
    <t>Par heures</t>
  </si>
  <si>
    <t>Par jours</t>
  </si>
  <si>
    <t>1 mois de travail à temps complet (à 35h / semaine) :</t>
  </si>
  <si>
    <t xml:space="preserve">Coût salaires chargés </t>
  </si>
  <si>
    <t>Contribution coopérative additionnelle</t>
  </si>
  <si>
    <t>Coût complet sur unité choisie :</t>
  </si>
  <si>
    <t>Sur CA formation</t>
  </si>
  <si>
    <t xml:space="preserve">    =&gt; Nb d'heures disponible par an</t>
  </si>
  <si>
    <t xml:space="preserve">    =&gt; Nb de jours disponibles par an</t>
  </si>
  <si>
    <r>
      <rPr>
        <b/>
        <u/>
        <sz val="14"/>
        <color theme="1"/>
        <rFont val="Calibri"/>
        <scheme val="minor"/>
      </rPr>
      <t>3/</t>
    </r>
    <r>
      <rPr>
        <b/>
        <u/>
        <sz val="11"/>
        <color theme="1"/>
        <rFont val="Calibri"/>
        <scheme val="minor"/>
      </rPr>
      <t xml:space="preserve"> Qu'est ce que je vends concrète ? (du temps ? Un forfait ? Un produit ? …)</t>
    </r>
  </si>
  <si>
    <t xml:space="preserve">     =&gt;  Qu'est ce que je vends concrètement ? (Des heures ? Des jours ? Un forfait ? Un produit ? …)</t>
  </si>
  <si>
    <r>
      <rPr>
        <b/>
        <sz val="14"/>
        <color theme="1"/>
        <rFont val="Calibri"/>
        <scheme val="minor"/>
      </rPr>
      <t xml:space="preserve">  4/   </t>
    </r>
    <r>
      <rPr>
        <b/>
        <sz val="11"/>
        <color theme="1"/>
        <rFont val="Calibri"/>
        <scheme val="minor"/>
      </rPr>
      <t>Fourchette de prix</t>
    </r>
  </si>
  <si>
    <r>
      <rPr>
        <b/>
        <u/>
        <sz val="14"/>
        <color theme="1"/>
        <rFont val="Calibri"/>
        <scheme val="minor"/>
      </rPr>
      <t>4/</t>
    </r>
    <r>
      <rPr>
        <b/>
        <u/>
        <sz val="11"/>
        <color theme="1"/>
        <rFont val="Calibri"/>
        <scheme val="minor"/>
      </rPr>
      <t xml:space="preserve"> Impact sur le temps disponible</t>
    </r>
  </si>
  <si>
    <t>(pour vous aider : cf. onglet repères prix)</t>
  </si>
  <si>
    <t xml:space="preserve">    =&gt; Objectivement quel est le temps passé pour une unité de vente ?</t>
  </si>
  <si>
    <t>Liste :</t>
  </si>
  <si>
    <t>Prix de l'unité choisi en 3</t>
  </si>
  <si>
    <t>Nb mini à vendre par mois</t>
  </si>
  <si>
    <t>Nb mini à vendre par an</t>
  </si>
  <si>
    <t>Quelle unité avez-vous choisie pour le temps :</t>
  </si>
  <si>
    <t>Jour</t>
  </si>
  <si>
    <t xml:space="preserve">    =&gt; Quelle est ma fourchette de prix possible ?</t>
  </si>
  <si>
    <t>Heures</t>
  </si>
  <si>
    <t>(Saisir un prix moyen vendu sur l'activité en fonction de l'unité vendue)</t>
  </si>
  <si>
    <t>Tps par unité</t>
  </si>
  <si>
    <t>Tps total</t>
  </si>
  <si>
    <t>% tps</t>
  </si>
  <si>
    <t>(Attention si le temps de réalisation nécessaire p/r au temps disponible est &gt; 70%)</t>
  </si>
  <si>
    <r>
      <rPr>
        <b/>
        <sz val="14"/>
        <color theme="1"/>
        <rFont val="Calibri"/>
        <scheme val="minor"/>
      </rPr>
      <t>5/</t>
    </r>
    <r>
      <rPr>
        <b/>
        <sz val="11"/>
        <color theme="1"/>
        <rFont val="Calibri"/>
        <scheme val="minor"/>
      </rPr>
      <t xml:space="preserve"> Effort commercial à réaliser / mois</t>
    </r>
  </si>
  <si>
    <t xml:space="preserve">    =&gt;  (quel sont mes objectifs commerciaux ?)</t>
  </si>
  <si>
    <t>Taux de transformation de vos contacts prospects</t>
  </si>
  <si>
    <t>Nb de prospection à mener / mois</t>
  </si>
  <si>
    <t>(Cacul réalisé sur le prix moyen)</t>
  </si>
  <si>
    <t>Mes frais de fonctionnement (liste non exhaustive)</t>
  </si>
  <si>
    <t>An</t>
  </si>
  <si>
    <t>Frais de communication</t>
  </si>
  <si>
    <t>Colloques, séminaire</t>
  </si>
  <si>
    <t>Cotisations</t>
  </si>
  <si>
    <t>Assurance</t>
  </si>
  <si>
    <t>Documentation</t>
  </si>
  <si>
    <t>Fourniture administrative</t>
  </si>
  <si>
    <t>Fourniture informatique</t>
  </si>
  <si>
    <t>Frais de missions (hotel, restaurant,…)</t>
  </si>
  <si>
    <t>Frais de réception (invitation)</t>
  </si>
  <si>
    <t>Frais de déplacements commerciaux</t>
  </si>
  <si>
    <t>Autre</t>
  </si>
  <si>
    <t>TOTAL</t>
  </si>
  <si>
    <t>A ) LISTE PRESTATIONS / PRODUITS</t>
  </si>
  <si>
    <t>( valeurs en Euros et hors taxes )</t>
  </si>
  <si>
    <t>COMMENTAIRES / NOTES</t>
  </si>
  <si>
    <t>Produits</t>
  </si>
  <si>
    <t xml:space="preserve">Unités </t>
  </si>
  <si>
    <t>Prix</t>
  </si>
  <si>
    <t>Achats MP</t>
  </si>
  <si>
    <t>Autres</t>
  </si>
  <si>
    <t xml:space="preserve">Frais </t>
  </si>
  <si>
    <t>Total</t>
  </si>
  <si>
    <t>Marge</t>
  </si>
  <si>
    <t>ou</t>
  </si>
  <si>
    <t>de</t>
  </si>
  <si>
    <t>et ss trait.</t>
  </si>
  <si>
    <t>frais</t>
  </si>
  <si>
    <t xml:space="preserve">de </t>
  </si>
  <si>
    <t>des</t>
  </si>
  <si>
    <t>sur achats</t>
  </si>
  <si>
    <t>OF</t>
  </si>
  <si>
    <t>services</t>
  </si>
  <si>
    <t>vente</t>
  </si>
  <si>
    <t xml:space="preserve"> technicité</t>
  </si>
  <si>
    <t>spécifiq.</t>
  </si>
  <si>
    <t>transport</t>
  </si>
  <si>
    <t>achats</t>
  </si>
  <si>
    <t>€</t>
  </si>
  <si>
    <t>B) TEMPS PASSE PAR PRESTATIONS / PRODUITS</t>
  </si>
  <si>
    <t>Temps</t>
  </si>
  <si>
    <t xml:space="preserve">Coût </t>
  </si>
  <si>
    <t>Coût</t>
  </si>
  <si>
    <t xml:space="preserve">ou </t>
  </si>
  <si>
    <t>de travail</t>
  </si>
  <si>
    <t xml:space="preserve"> </t>
  </si>
  <si>
    <t>sur coûts directs</t>
  </si>
  <si>
    <t>en HEURES</t>
  </si>
  <si>
    <t xml:space="preserve">sal+charges </t>
  </si>
  <si>
    <t>M.O.D</t>
  </si>
  <si>
    <t>P.R.A</t>
  </si>
  <si>
    <t>C) PREVISIONS DES VENTES</t>
  </si>
  <si>
    <t>Répartition en quantité par années</t>
  </si>
  <si>
    <t xml:space="preserve">Liste des produits </t>
  </si>
  <si>
    <t>AN 1</t>
  </si>
  <si>
    <t>AN 2</t>
  </si>
  <si>
    <t>AN 3</t>
  </si>
  <si>
    <t>ou services</t>
  </si>
  <si>
    <t>quantité</t>
  </si>
  <si>
    <t xml:space="preserve">TOTAL  </t>
  </si>
  <si>
    <t>Actualisation des prix</t>
  </si>
  <si>
    <t>Répartition en valeur par années</t>
  </si>
  <si>
    <t>Type</t>
  </si>
  <si>
    <t>valor.</t>
  </si>
  <si>
    <t>Sous-total formation</t>
  </si>
  <si>
    <t>Rappel CA mini / an (report onglet "CA_mini_tps")</t>
  </si>
  <si>
    <t>dont formation</t>
  </si>
  <si>
    <t>Réalité du modèle par rapport au temps disponible</t>
  </si>
  <si>
    <t>Attention si temps nécessaire &gt;65%, il peut être difficile de tenir matériellement le modèle économique.</t>
  </si>
  <si>
    <t>Étiquettes de lignes</t>
  </si>
  <si>
    <t>Somme de valor.</t>
  </si>
  <si>
    <t>Total général</t>
  </si>
  <si>
    <t>GRILLE DE TARIF</t>
  </si>
  <si>
    <t>( valeurs en Euros et TTC )</t>
  </si>
  <si>
    <t>Quantité / Durée</t>
  </si>
  <si>
    <t>Fréquence</t>
  </si>
  <si>
    <t>Prix de vente</t>
  </si>
  <si>
    <t>TTC</t>
  </si>
  <si>
    <t>clients</t>
  </si>
  <si>
    <t>retenu</t>
  </si>
  <si>
    <t xml:space="preserve">1- </t>
  </si>
  <si>
    <t>2-</t>
  </si>
  <si>
    <t>3-</t>
  </si>
  <si>
    <t>4-</t>
  </si>
  <si>
    <t>5-</t>
  </si>
  <si>
    <t>Article Dynamique Mag</t>
  </si>
  <si>
    <t>http://www.dynamique-mag.com/article/pas-prostituer-sacrifier-prix.4727</t>
  </si>
  <si>
    <t>Article lesechos.buisness</t>
  </si>
  <si>
    <t>https://business.lesechos.fr/entrepreneurs/marketing-vente/106224-comment-fixer-le-tarif-de-ses-prestations-26914.php</t>
  </si>
  <si>
    <t>DOC PROVENANT DU RESEAU LA CORDEE :</t>
  </si>
  <si>
    <t>Article manager-go</t>
  </si>
  <si>
    <t>https://www.manager-go.com/management/fixer-tarifs-consultant.htm</t>
  </si>
  <si>
    <t>Conférence TEDX</t>
  </si>
  <si>
    <t>https://go.ted.com/CyJw</t>
  </si>
  <si>
    <t>https://business.lesechos.fr/entrepreneurs/marketing-vente/quatre-strategies-pour-etablir-ses-prix-311785.php?xtor=EPR-21-%255Bentrepreneurs%255D-20170718-%255BProv_%255D-1674801</t>
  </si>
  <si>
    <t>Téléphonie, internet</t>
  </si>
  <si>
    <t>Frais de formation</t>
  </si>
  <si>
    <t>Penser à actualiser pour valider les modifications</t>
  </si>
  <si>
    <t>Somme de valor.2</t>
  </si>
  <si>
    <t>Somme de valor.3</t>
  </si>
  <si>
    <t>ATTENTION, cet outil est difficilement utilisable si vous ne participez aux ateliers "Mon business Modèle de Milliardaire ou Etablir mon prévisionnel"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</si>
</sst>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[$€-40C]_-;\-* #,##0\ [$€-40C]_-;_-* &quot;-&quot;??\ [$€-40C]_-;_-@_-"/>
    <numFmt numFmtId="166" formatCode="_-* #,##0&quot; &quot;[$€-C]_-;&quot;-&quot;* #,##0&quot; &quot;[$€-C]_-;_-* &quot;-&quot;??\ [$€-C]_-;_-@_-"/>
    <numFmt numFmtId="167" formatCode="_-* #,##0\ [$€-C]_-;\-* #,##0\ [$€-C]_-;_-* &quot;-&quot;??\ [$€-C]_-;_-@_-"/>
    <numFmt numFmtId="168" formatCode="_-* #,##0\ _€_-;\-* #,##0\ _€_-;_-* &quot;-&quot;??\ _€_-;_-@_-"/>
    <numFmt numFmtId="169" formatCode="#,##0\ &quot;€&quot;"/>
    <numFmt numFmtId="170" formatCode="_-* #,##0\ &quot;€&quot;_-;\-* #,##0\ &quot;€&quot;_-;_-* &quot;-&quot;??\ &quot;€&quot;_-;_-@_-"/>
    <numFmt numFmtId="171" formatCode="#,##0\ [$€-40C];\-#,##0\ [$€-40C]"/>
    <numFmt numFmtId="172" formatCode="_-* #,##0.00\ [$€-C]_-;\-* #,##0.00\ [$€-C]_-;_-* &quot;-&quot;??\ [$€-C]_-;_-@_-"/>
    <numFmt numFmtId="173" formatCode="0.0"/>
    <numFmt numFmtId="174" formatCode="_-* #,##0\ _€_-;\-* #,##0\ _€_-;_-* &quot;-&quot;\ _€_-;_-@_-"/>
    <numFmt numFmtId="175" formatCode="0.0%"/>
  </numFmts>
  <fonts count="35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1"/>
      <color indexed="2"/>
      <name val="Calibri"/>
      <scheme val="minor"/>
    </font>
    <font>
      <b/>
      <sz val="11"/>
      <color rgb="FFFFC000"/>
      <name val="Calibri"/>
      <scheme val="minor"/>
    </font>
    <font>
      <b/>
      <u/>
      <sz val="11"/>
      <color theme="1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i/>
      <sz val="11"/>
      <color theme="1"/>
      <name val="Calibri"/>
      <scheme val="minor"/>
    </font>
    <font>
      <b/>
      <i/>
      <sz val="11"/>
      <name val="Calibri"/>
      <scheme val="minor"/>
    </font>
    <font>
      <b/>
      <i/>
      <sz val="11"/>
      <color theme="1"/>
      <name val="Calibri"/>
      <scheme val="minor"/>
    </font>
    <font>
      <sz val="11"/>
      <color theme="0"/>
      <name val="Calibri"/>
      <scheme val="minor"/>
    </font>
    <font>
      <b/>
      <u val="singleAccounting"/>
      <sz val="11"/>
      <color rgb="FF92D050"/>
      <name val="Calibri"/>
      <scheme val="minor"/>
    </font>
    <font>
      <i/>
      <sz val="11"/>
      <name val="Calibri"/>
      <scheme val="minor"/>
    </font>
    <font>
      <b/>
      <u/>
      <sz val="11"/>
      <color rgb="FFFFC000"/>
      <name val="Calibri"/>
      <scheme val="minor"/>
    </font>
    <font>
      <b/>
      <sz val="16"/>
      <color rgb="FF92D050"/>
      <name val="Arial"/>
    </font>
    <font>
      <sz val="14"/>
      <name val="Arial"/>
    </font>
    <font>
      <sz val="8"/>
      <name val="Arial"/>
    </font>
    <font>
      <b/>
      <sz val="12"/>
      <name val="Arial"/>
    </font>
    <font>
      <b/>
      <i/>
      <sz val="12"/>
      <name val="Arial"/>
    </font>
    <font>
      <sz val="11"/>
      <name val="Arial"/>
    </font>
    <font>
      <i/>
      <sz val="11"/>
      <name val="Arial"/>
    </font>
    <font>
      <b/>
      <sz val="8"/>
      <name val="Arial"/>
    </font>
    <font>
      <b/>
      <sz val="12"/>
      <color indexed="2"/>
      <name val="Arial"/>
    </font>
    <font>
      <b/>
      <sz val="18"/>
      <color theme="9" tint="-0.249977111117893"/>
      <name val="Calibri"/>
      <scheme val="minor"/>
    </font>
    <font>
      <b/>
      <sz val="10"/>
      <name val="Arial"/>
    </font>
    <font>
      <b/>
      <sz val="11"/>
      <name val="Arial"/>
    </font>
    <font>
      <i/>
      <sz val="8"/>
      <name val="Arial"/>
    </font>
    <font>
      <b/>
      <i/>
      <sz val="11"/>
      <name val="Arial"/>
    </font>
    <font>
      <b/>
      <sz val="11"/>
      <color indexed="2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u/>
      <sz val="14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79C04C"/>
        <bgColor rgb="FF79C04C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C000"/>
        <bgColor rgb="FFFFC000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164" fontId="31" fillId="0" borderId="0" applyFont="0" applyFill="0" applyBorder="0" applyProtection="0"/>
    <xf numFmtId="44" fontId="31" fillId="0" borderId="0" applyFont="0" applyFill="0" applyBorder="0" applyProtection="0"/>
    <xf numFmtId="9" fontId="31" fillId="0" borderId="0" applyFont="0" applyFill="0" applyBorder="0" applyProtection="0"/>
  </cellStyleXfs>
  <cellXfs count="30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2" borderId="0" xfId="0" applyFill="1"/>
    <xf numFmtId="165" fontId="0" fillId="0" borderId="0" xfId="0" applyNumberFormat="1"/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4" fillId="0" borderId="0" xfId="0" applyFont="1"/>
    <xf numFmtId="9" fontId="0" fillId="2" borderId="0" xfId="4" applyFont="1" applyFill="1"/>
    <xf numFmtId="0" fontId="0" fillId="3" borderId="1" xfId="0" applyFill="1" applyBorder="1"/>
    <xf numFmtId="168" fontId="5" fillId="3" borderId="2" xfId="2" applyNumberFormat="1" applyFont="1" applyFill="1" applyBorder="1" applyAlignment="1">
      <alignment horizontal="center"/>
    </xf>
    <xf numFmtId="0" fontId="0" fillId="3" borderId="3" xfId="0" applyFill="1" applyBorder="1"/>
    <xf numFmtId="168" fontId="5" fillId="3" borderId="4" xfId="2" applyNumberFormat="1" applyFont="1" applyFill="1" applyBorder="1"/>
    <xf numFmtId="165" fontId="5" fillId="3" borderId="5" xfId="2" applyNumberFormat="1" applyFont="1" applyFill="1" applyBorder="1"/>
    <xf numFmtId="165" fontId="5" fillId="3" borderId="6" xfId="2" applyNumberFormat="1" applyFont="1" applyFill="1" applyBorder="1"/>
    <xf numFmtId="0" fontId="0" fillId="3" borderId="7" xfId="0" applyFill="1" applyBorder="1"/>
    <xf numFmtId="0" fontId="0" fillId="0" borderId="3" xfId="0" applyBorder="1"/>
    <xf numFmtId="168" fontId="6" fillId="3" borderId="8" xfId="2" applyNumberFormat="1" applyFont="1" applyFill="1" applyBorder="1"/>
    <xf numFmtId="165" fontId="6" fillId="3" borderId="0" xfId="2" applyNumberFormat="1" applyFont="1" applyFill="1"/>
    <xf numFmtId="0" fontId="0" fillId="0" borderId="8" xfId="0" applyBorder="1"/>
    <xf numFmtId="0" fontId="0" fillId="0" borderId="7" xfId="0" applyBorder="1"/>
    <xf numFmtId="165" fontId="0" fillId="3" borderId="7" xfId="0" applyNumberFormat="1" applyFill="1" applyBorder="1"/>
    <xf numFmtId="0" fontId="2" fillId="0" borderId="8" xfId="0" applyFont="1" applyBorder="1"/>
    <xf numFmtId="168" fontId="6" fillId="0" borderId="0" xfId="2" applyNumberFormat="1" applyFont="1"/>
    <xf numFmtId="169" fontId="7" fillId="2" borderId="9" xfId="0" applyNumberFormat="1" applyFont="1" applyFill="1" applyBorder="1" applyAlignment="1" applyProtection="1">
      <alignment horizontal="center"/>
      <protection locked="0"/>
    </xf>
    <xf numFmtId="169" fontId="0" fillId="0" borderId="9" xfId="0" applyNumberFormat="1" applyBorder="1" applyAlignment="1">
      <alignment horizontal="center"/>
    </xf>
    <xf numFmtId="9" fontId="0" fillId="3" borderId="7" xfId="0" applyNumberForma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170" fontId="0" fillId="0" borderId="0" xfId="3" applyNumberFormat="1" applyFont="1"/>
    <xf numFmtId="169" fontId="8" fillId="0" borderId="0" xfId="0" applyNumberFormat="1" applyFont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9" fontId="0" fillId="0" borderId="10" xfId="0" applyNumberFormat="1" applyBorder="1" applyAlignment="1">
      <alignment horizontal="center"/>
    </xf>
    <xf numFmtId="0" fontId="7" fillId="0" borderId="8" xfId="0" applyFont="1" applyBorder="1"/>
    <xf numFmtId="171" fontId="0" fillId="0" borderId="9" xfId="0" applyNumberFormat="1" applyBorder="1" applyAlignment="1">
      <alignment horizontal="center"/>
    </xf>
    <xf numFmtId="170" fontId="0" fillId="3" borderId="0" xfId="3" applyNumberFormat="1" applyFont="1" applyFill="1"/>
    <xf numFmtId="0" fontId="0" fillId="0" borderId="11" xfId="0" applyBorder="1"/>
    <xf numFmtId="0" fontId="0" fillId="0" borderId="12" xfId="0" applyBorder="1"/>
    <xf numFmtId="171" fontId="0" fillId="0" borderId="12" xfId="0" applyNumberFormat="1" applyBorder="1"/>
    <xf numFmtId="0" fontId="0" fillId="0" borderId="13" xfId="0" applyBorder="1"/>
    <xf numFmtId="168" fontId="9" fillId="3" borderId="4" xfId="2" applyNumberFormat="1" applyFont="1" applyFill="1" applyBorder="1"/>
    <xf numFmtId="170" fontId="10" fillId="3" borderId="5" xfId="3" applyNumberFormat="1" applyFont="1" applyFill="1" applyBorder="1"/>
    <xf numFmtId="170" fontId="10" fillId="3" borderId="6" xfId="3" applyNumberFormat="1" applyFont="1" applyFill="1" applyBorder="1"/>
    <xf numFmtId="165" fontId="0" fillId="4" borderId="10" xfId="0" applyNumberFormat="1" applyFill="1" applyBorder="1"/>
    <xf numFmtId="170" fontId="0" fillId="0" borderId="0" xfId="0" applyNumberFormat="1"/>
    <xf numFmtId="165" fontId="6" fillId="2" borderId="0" xfId="2" applyNumberFormat="1" applyFont="1" applyFill="1"/>
    <xf numFmtId="165" fontId="2" fillId="3" borderId="5" xfId="2" applyNumberFormat="1" applyFont="1" applyFill="1" applyBorder="1"/>
    <xf numFmtId="165" fontId="2" fillId="3" borderId="6" xfId="2" applyNumberFormat="1" applyFont="1" applyFill="1" applyBorder="1"/>
    <xf numFmtId="165" fontId="0" fillId="3" borderId="13" xfId="0" applyNumberFormat="1" applyFill="1" applyBorder="1"/>
    <xf numFmtId="0" fontId="7" fillId="0" borderId="0" xfId="0" applyFont="1"/>
    <xf numFmtId="0" fontId="7" fillId="0" borderId="10" xfId="0" applyFont="1" applyBorder="1"/>
    <xf numFmtId="0" fontId="0" fillId="0" borderId="10" xfId="0" applyBorder="1" applyAlignment="1">
      <alignment vertical="center"/>
    </xf>
    <xf numFmtId="166" fontId="0" fillId="0" borderId="10" xfId="3" applyNumberFormat="1" applyFont="1" applyBorder="1"/>
    <xf numFmtId="172" fontId="0" fillId="0" borderId="10" xfId="3" applyNumberFormat="1" applyFont="1" applyBorder="1"/>
    <xf numFmtId="172" fontId="0" fillId="0" borderId="0" xfId="3" applyNumberFormat="1" applyFont="1"/>
    <xf numFmtId="0" fontId="4" fillId="0" borderId="8" xfId="0" applyFont="1" applyBorder="1" applyAlignment="1">
      <alignment horizontal="center"/>
    </xf>
    <xf numFmtId="0" fontId="0" fillId="3" borderId="8" xfId="0" applyFill="1" applyBorder="1"/>
    <xf numFmtId="0" fontId="0" fillId="3" borderId="0" xfId="0" applyFill="1"/>
    <xf numFmtId="165" fontId="2" fillId="3" borderId="0" xfId="2" applyNumberFormat="1" applyFont="1" applyFill="1"/>
    <xf numFmtId="167" fontId="0" fillId="0" borderId="10" xfId="3" applyNumberFormat="1" applyFont="1" applyBorder="1"/>
    <xf numFmtId="166" fontId="0" fillId="0" borderId="0" xfId="3" applyNumberFormat="1" applyFont="1"/>
    <xf numFmtId="0" fontId="0" fillId="0" borderId="0" xfId="0" applyAlignment="1">
      <alignment horizontal="center"/>
    </xf>
    <xf numFmtId="0" fontId="11" fillId="5" borderId="10" xfId="0" applyFont="1" applyFill="1" applyBorder="1" applyAlignment="1">
      <alignment vertical="center"/>
    </xf>
    <xf numFmtId="166" fontId="11" fillId="5" borderId="10" xfId="3" applyNumberFormat="1" applyFont="1" applyFill="1" applyBorder="1"/>
    <xf numFmtId="166" fontId="11" fillId="0" borderId="0" xfId="3" applyNumberFormat="1" applyFont="1"/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9" fontId="5" fillId="2" borderId="9" xfId="2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165" fontId="0" fillId="3" borderId="10" xfId="0" applyNumberForma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9" fontId="0" fillId="0" borderId="15" xfId="0" applyNumberFormat="1" applyBorder="1"/>
    <xf numFmtId="166" fontId="0" fillId="0" borderId="15" xfId="3" applyNumberFormat="1" applyFont="1" applyBorder="1"/>
    <xf numFmtId="0" fontId="7" fillId="0" borderId="8" xfId="0" applyFont="1" applyBorder="1" applyAlignment="1">
      <alignment horizontal="left" vertical="center" wrapText="1"/>
    </xf>
    <xf numFmtId="2" fontId="5" fillId="0" borderId="9" xfId="2" applyNumberFormat="1" applyFont="1" applyBorder="1" applyAlignment="1">
      <alignment horizontal="center" vertical="center"/>
    </xf>
    <xf numFmtId="173" fontId="0" fillId="0" borderId="7" xfId="0" applyNumberFormat="1" applyBorder="1" applyAlignment="1">
      <alignment horizontal="center" vertical="center"/>
    </xf>
    <xf numFmtId="9" fontId="0" fillId="0" borderId="17" xfId="0" applyNumberFormat="1" applyBorder="1"/>
    <xf numFmtId="166" fontId="0" fillId="0" borderId="17" xfId="3" applyNumberFormat="1" applyFont="1" applyBorder="1"/>
    <xf numFmtId="0" fontId="0" fillId="0" borderId="14" xfId="0" applyBorder="1"/>
    <xf numFmtId="1" fontId="5" fillId="0" borderId="9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6" fillId="2" borderId="9" xfId="2" applyNumberFormat="1" applyFont="1" applyFill="1" applyBorder="1" applyAlignment="1" applyProtection="1">
      <alignment horizontal="center"/>
      <protection locked="0"/>
    </xf>
    <xf numFmtId="168" fontId="7" fillId="0" borderId="1" xfId="2" applyNumberFormat="1" applyFont="1" applyBorder="1"/>
    <xf numFmtId="0" fontId="0" fillId="0" borderId="2" xfId="0" applyBorder="1"/>
    <xf numFmtId="0" fontId="4" fillId="3" borderId="1" xfId="0" applyFont="1" applyFill="1" applyBorder="1"/>
    <xf numFmtId="0" fontId="0" fillId="3" borderId="2" xfId="0" applyFill="1" applyBorder="1"/>
    <xf numFmtId="168" fontId="8" fillId="0" borderId="8" xfId="2" applyNumberFormat="1" applyFont="1" applyBorder="1"/>
    <xf numFmtId="0" fontId="2" fillId="3" borderId="8" xfId="0" applyFont="1" applyFill="1" applyBorder="1"/>
    <xf numFmtId="168" fontId="6" fillId="0" borderId="18" xfId="2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165" fontId="6" fillId="2" borderId="20" xfId="2" applyNumberFormat="1" applyFont="1" applyFill="1" applyBorder="1" applyAlignment="1" applyProtection="1">
      <alignment horizontal="center"/>
      <protection locked="0"/>
    </xf>
    <xf numFmtId="173" fontId="0" fillId="0" borderId="20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8" fillId="0" borderId="8" xfId="0" applyFont="1" applyBorder="1"/>
    <xf numFmtId="165" fontId="6" fillId="2" borderId="10" xfId="2" applyNumberFormat="1" applyFont="1" applyFill="1" applyBorder="1" applyAlignment="1" applyProtection="1">
      <alignment horizontal="center"/>
      <protection locked="0"/>
    </xf>
    <xf numFmtId="173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68" fontId="6" fillId="0" borderId="8" xfId="2" applyNumberFormat="1" applyFont="1" applyBorder="1"/>
    <xf numFmtId="0" fontId="6" fillId="2" borderId="20" xfId="2" applyNumberFormat="1" applyFont="1" applyFill="1" applyBorder="1" applyAlignment="1" applyProtection="1">
      <alignment horizontal="center"/>
      <protection locked="0"/>
    </xf>
    <xf numFmtId="1" fontId="0" fillId="3" borderId="20" xfId="0" applyNumberFormat="1" applyFill="1" applyBorder="1" applyAlignment="1">
      <alignment horizontal="center"/>
    </xf>
    <xf numFmtId="9" fontId="0" fillId="3" borderId="20" xfId="0" applyNumberFormat="1" applyFill="1" applyBorder="1" applyAlignment="1">
      <alignment horizontal="center"/>
    </xf>
    <xf numFmtId="168" fontId="6" fillId="0" borderId="11" xfId="2" applyNumberFormat="1" applyFont="1" applyBorder="1"/>
    <xf numFmtId="165" fontId="0" fillId="6" borderId="10" xfId="0" applyNumberFormat="1" applyFill="1" applyBorder="1"/>
    <xf numFmtId="164" fontId="0" fillId="6" borderId="10" xfId="2" applyFont="1" applyFill="1" applyBorder="1"/>
    <xf numFmtId="0" fontId="0" fillId="3" borderId="10" xfId="0" applyFill="1" applyBorder="1" applyAlignment="1">
      <alignment horizontal="center"/>
    </xf>
    <xf numFmtId="0" fontId="8" fillId="3" borderId="8" xfId="0" applyFont="1" applyFill="1" applyBorder="1"/>
    <xf numFmtId="0" fontId="8" fillId="3" borderId="0" xfId="0" applyFont="1" applyFill="1"/>
    <xf numFmtId="0" fontId="8" fillId="3" borderId="11" xfId="0" applyFont="1" applyFill="1" applyBorder="1"/>
    <xf numFmtId="0" fontId="8" fillId="3" borderId="12" xfId="0" applyFont="1" applyFill="1" applyBorder="1"/>
    <xf numFmtId="0" fontId="0" fillId="0" borderId="1" xfId="0" applyBorder="1"/>
    <xf numFmtId="168" fontId="7" fillId="0" borderId="8" xfId="2" applyNumberFormat="1" applyFont="1" applyBorder="1" applyAlignment="1">
      <alignment horizontal="left" wrapText="1"/>
    </xf>
    <xf numFmtId="168" fontId="12" fillId="0" borderId="0" xfId="2" applyNumberFormat="1" applyFont="1" applyAlignment="1">
      <alignment horizontal="left" wrapText="1"/>
    </xf>
    <xf numFmtId="168" fontId="6" fillId="0" borderId="7" xfId="2" applyNumberFormat="1" applyFont="1" applyBorder="1"/>
    <xf numFmtId="168" fontId="2" fillId="0" borderId="8" xfId="2" applyNumberFormat="1" applyFont="1" applyBorder="1" applyAlignment="1">
      <alignment horizontal="left"/>
    </xf>
    <xf numFmtId="168" fontId="12" fillId="0" borderId="11" xfId="2" applyNumberFormat="1" applyFont="1" applyBorder="1" applyAlignment="1">
      <alignment horizontal="left"/>
    </xf>
    <xf numFmtId="168" fontId="12" fillId="0" borderId="12" xfId="2" applyNumberFormat="1" applyFont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9" fontId="0" fillId="2" borderId="10" xfId="0" applyNumberFormat="1" applyFill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8" fontId="13" fillId="0" borderId="0" xfId="2" applyNumberFormat="1" applyFont="1"/>
    <xf numFmtId="168" fontId="6" fillId="0" borderId="12" xfId="2" applyNumberFormat="1" applyFont="1" applyBorder="1"/>
    <xf numFmtId="168" fontId="6" fillId="0" borderId="13" xfId="2" applyNumberFormat="1" applyFont="1" applyBorder="1"/>
    <xf numFmtId="0" fontId="8" fillId="0" borderId="0" xfId="0" applyFont="1"/>
    <xf numFmtId="0" fontId="14" fillId="0" borderId="0" xfId="0" applyFont="1"/>
    <xf numFmtId="0" fontId="7" fillId="0" borderId="18" xfId="0" applyFont="1" applyBorder="1" applyAlignment="1">
      <alignment horizontal="center"/>
    </xf>
    <xf numFmtId="174" fontId="0" fillId="2" borderId="0" xfId="0" applyNumberFormat="1" applyFill="1" applyAlignment="1" applyProtection="1">
      <alignment horizontal="center"/>
      <protection locked="0"/>
    </xf>
    <xf numFmtId="174" fontId="0" fillId="0" borderId="0" xfId="0" applyNumberFormat="1" applyAlignment="1">
      <alignment horizontal="center"/>
    </xf>
    <xf numFmtId="174" fontId="0" fillId="2" borderId="0" xfId="0" applyNumberFormat="1" applyFill="1" applyProtection="1">
      <protection locked="0"/>
    </xf>
    <xf numFmtId="174" fontId="0" fillId="2" borderId="12" xfId="0" applyNumberFormat="1" applyFill="1" applyBorder="1" applyProtection="1">
      <protection locked="0"/>
    </xf>
    <xf numFmtId="174" fontId="0" fillId="0" borderId="12" xfId="0" applyNumberFormat="1" applyBorder="1" applyAlignment="1">
      <alignment horizontal="center"/>
    </xf>
    <xf numFmtId="174" fontId="7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0" fillId="2" borderId="35" xfId="0" applyFill="1" applyBorder="1"/>
    <xf numFmtId="0" fontId="20" fillId="2" borderId="36" xfId="0" applyFont="1" applyFill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 applyProtection="1">
      <alignment horizontal="center" vertical="center"/>
      <protection locked="0"/>
    </xf>
    <xf numFmtId="4" fontId="20" fillId="2" borderId="13" xfId="0" applyNumberFormat="1" applyFont="1" applyFill="1" applyBorder="1" applyAlignment="1" applyProtection="1">
      <alignment horizontal="center" vertical="center"/>
      <protection locked="0"/>
    </xf>
    <xf numFmtId="4" fontId="20" fillId="2" borderId="20" xfId="0" applyNumberFormat="1" applyFont="1" applyFill="1" applyBorder="1" applyAlignment="1" applyProtection="1">
      <alignment horizontal="center" vertical="center"/>
      <protection locked="0"/>
    </xf>
    <xf numFmtId="4" fontId="20" fillId="2" borderId="11" xfId="0" applyNumberFormat="1" applyFont="1" applyFill="1" applyBorder="1" applyAlignment="1" applyProtection="1">
      <alignment horizontal="center" vertical="center"/>
      <protection locked="0"/>
    </xf>
    <xf numFmtId="4" fontId="20" fillId="0" borderId="38" xfId="0" applyNumberFormat="1" applyFont="1" applyBorder="1" applyAlignment="1">
      <alignment horizontal="center" vertical="center"/>
    </xf>
    <xf numFmtId="4" fontId="20" fillId="0" borderId="39" xfId="0" applyNumberFormat="1" applyFont="1" applyBorder="1" applyAlignment="1">
      <alignment horizontal="center" vertical="center"/>
    </xf>
    <xf numFmtId="9" fontId="21" fillId="0" borderId="40" xfId="4" applyFont="1" applyBorder="1" applyAlignment="1" applyProtection="1">
      <alignment horizontal="center" vertical="center"/>
    </xf>
    <xf numFmtId="0" fontId="0" fillId="2" borderId="41" xfId="0" applyFill="1" applyBorder="1"/>
    <xf numFmtId="0" fontId="20" fillId="2" borderId="42" xfId="0" applyFont="1" applyFill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4" fontId="20" fillId="2" borderId="6" xfId="0" applyNumberFormat="1" applyFont="1" applyFill="1" applyBorder="1" applyAlignment="1" applyProtection="1">
      <alignment horizontal="center" vertical="center"/>
      <protection locked="0"/>
    </xf>
    <xf numFmtId="4" fontId="20" fillId="0" borderId="43" xfId="0" applyNumberFormat="1" applyFont="1" applyBorder="1" applyAlignment="1">
      <alignment horizontal="center" vertical="center"/>
    </xf>
    <xf numFmtId="4" fontId="20" fillId="0" borderId="44" xfId="0" applyNumberFormat="1" applyFont="1" applyBorder="1" applyAlignment="1">
      <alignment horizontal="center" vertical="center"/>
    </xf>
    <xf numFmtId="9" fontId="21" fillId="0" borderId="42" xfId="4" applyFont="1" applyBorder="1" applyAlignment="1" applyProtection="1">
      <alignment horizontal="center" vertical="center"/>
    </xf>
    <xf numFmtId="0" fontId="20" fillId="2" borderId="42" xfId="0" applyFont="1" applyFill="1" applyBorder="1" applyAlignment="1" applyProtection="1">
      <alignment horizontal="right" vertical="center"/>
      <protection locked="0"/>
    </xf>
    <xf numFmtId="0" fontId="0" fillId="2" borderId="45" xfId="0" applyFill="1" applyBorder="1"/>
    <xf numFmtId="0" fontId="20" fillId="2" borderId="46" xfId="0" applyFont="1" applyFill="1" applyBorder="1" applyAlignment="1" applyProtection="1">
      <alignment horizontal="right" vertical="center"/>
      <protection locked="0"/>
    </xf>
    <xf numFmtId="0" fontId="20" fillId="2" borderId="45" xfId="0" applyFont="1" applyFill="1" applyBorder="1" applyAlignment="1" applyProtection="1">
      <alignment horizontal="center" vertical="center"/>
      <protection locked="0"/>
    </xf>
    <xf numFmtId="4" fontId="20" fillId="2" borderId="47" xfId="0" applyNumberFormat="1" applyFont="1" applyFill="1" applyBorder="1" applyAlignment="1" applyProtection="1">
      <alignment horizontal="center" vertical="center"/>
      <protection locked="0"/>
    </xf>
    <xf numFmtId="4" fontId="20" fillId="2" borderId="48" xfId="0" applyNumberFormat="1" applyFont="1" applyFill="1" applyBorder="1" applyAlignment="1" applyProtection="1">
      <alignment horizontal="center" vertical="center"/>
      <protection locked="0"/>
    </xf>
    <xf numFmtId="4" fontId="20" fillId="0" borderId="49" xfId="0" applyNumberFormat="1" applyFont="1" applyBorder="1" applyAlignment="1">
      <alignment horizontal="center" vertical="center"/>
    </xf>
    <xf numFmtId="4" fontId="20" fillId="0" borderId="50" xfId="0" applyNumberFormat="1" applyFont="1" applyBorder="1" applyAlignment="1">
      <alignment horizontal="center" vertical="center"/>
    </xf>
    <xf numFmtId="9" fontId="21" fillId="0" borderId="46" xfId="4" applyFont="1" applyBorder="1" applyAlignment="1" applyProtection="1">
      <alignment horizontal="center" vertical="center"/>
    </xf>
    <xf numFmtId="0" fontId="17" fillId="0" borderId="28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32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4" fontId="20" fillId="2" borderId="37" xfId="0" applyNumberFormat="1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horizontal="center" vertical="center"/>
      <protection locked="0"/>
    </xf>
    <xf numFmtId="4" fontId="20" fillId="0" borderId="11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4" fontId="20" fillId="2" borderId="41" xfId="0" applyNumberFormat="1" applyFont="1" applyFill="1" applyBorder="1" applyAlignment="1" applyProtection="1">
      <alignment horizontal="center" vertical="center"/>
      <protection locked="0"/>
    </xf>
    <xf numFmtId="4" fontId="20" fillId="0" borderId="4" xfId="0" applyNumberFormat="1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4" fontId="20" fillId="2" borderId="45" xfId="0" applyNumberFormat="1" applyFont="1" applyFill="1" applyBorder="1" applyAlignment="1" applyProtection="1">
      <alignment horizontal="center" vertical="center"/>
      <protection locked="0"/>
    </xf>
    <xf numFmtId="4" fontId="20" fillId="0" borderId="51" xfId="0" applyNumberFormat="1" applyFont="1" applyBorder="1" applyAlignment="1" applyProtection="1">
      <alignment horizontal="center" vertical="center"/>
      <protection locked="0"/>
    </xf>
    <xf numFmtId="4" fontId="20" fillId="0" borderId="52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3" fontId="20" fillId="2" borderId="37" xfId="0" applyNumberFormat="1" applyFont="1" applyFill="1" applyBorder="1" applyAlignment="1" applyProtection="1">
      <alignment horizontal="center" vertical="center"/>
      <protection locked="0"/>
    </xf>
    <xf numFmtId="9" fontId="21" fillId="0" borderId="38" xfId="4" applyFont="1" applyBorder="1" applyAlignment="1" applyProtection="1">
      <alignment horizontal="center" vertical="center"/>
    </xf>
    <xf numFmtId="3" fontId="20" fillId="2" borderId="41" xfId="0" applyNumberFormat="1" applyFont="1" applyFill="1" applyBorder="1" applyAlignment="1" applyProtection="1">
      <alignment horizontal="center" vertical="center"/>
      <protection locked="0"/>
    </xf>
    <xf numFmtId="0" fontId="20" fillId="0" borderId="30" xfId="0" applyFont="1" applyBorder="1" applyAlignment="1">
      <alignment vertical="center"/>
    </xf>
    <xf numFmtId="3" fontId="20" fillId="2" borderId="53" xfId="0" applyNumberFormat="1" applyFont="1" applyFill="1" applyBorder="1" applyAlignment="1" applyProtection="1">
      <alignment horizontal="center" vertical="center"/>
      <protection locked="0"/>
    </xf>
    <xf numFmtId="9" fontId="21" fillId="0" borderId="54" xfId="4" applyFont="1" applyBorder="1" applyAlignment="1" applyProtection="1">
      <alignment horizontal="center" vertical="center"/>
    </xf>
    <xf numFmtId="3" fontId="20" fillId="2" borderId="55" xfId="0" applyNumberFormat="1" applyFont="1" applyFill="1" applyBorder="1" applyAlignment="1" applyProtection="1">
      <alignment horizontal="center" vertical="center"/>
      <protection locked="0"/>
    </xf>
    <xf numFmtId="0" fontId="26" fillId="0" borderId="22" xfId="0" applyFont="1" applyBorder="1" applyAlignment="1">
      <alignment horizontal="center" vertical="center"/>
    </xf>
    <xf numFmtId="3" fontId="26" fillId="0" borderId="56" xfId="0" applyNumberFormat="1" applyFont="1" applyBorder="1" applyAlignment="1">
      <alignment horizontal="center" vertical="center"/>
    </xf>
    <xf numFmtId="9" fontId="21" fillId="0" borderId="57" xfId="4" applyFont="1" applyBorder="1" applyAlignment="1" applyProtection="1">
      <alignment horizontal="center" vertical="center"/>
    </xf>
    <xf numFmtId="9" fontId="21" fillId="0" borderId="9" xfId="4" applyFont="1" applyBorder="1" applyAlignment="1" applyProtection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21" fillId="0" borderId="0" xfId="4" applyFont="1" applyAlignment="1" applyProtection="1">
      <alignment horizontal="center" vertical="center"/>
    </xf>
    <xf numFmtId="10" fontId="20" fillId="2" borderId="10" xfId="4" applyNumberFormat="1" applyFont="1" applyFill="1" applyBorder="1" applyAlignment="1" applyProtection="1">
      <alignment horizontal="center" vertical="center"/>
      <protection locked="0"/>
    </xf>
    <xf numFmtId="2" fontId="21" fillId="0" borderId="0" xfId="4" applyNumberFormat="1" applyFont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9" fontId="17" fillId="0" borderId="0" xfId="4" applyFont="1" applyAlignment="1" applyProtection="1">
      <alignment horizontal="center" vertical="center"/>
    </xf>
    <xf numFmtId="2" fontId="27" fillId="0" borderId="0" xfId="4" applyNumberFormat="1" applyFont="1" applyAlignment="1" applyProtection="1">
      <alignment horizontal="center" vertical="center"/>
    </xf>
    <xf numFmtId="0" fontId="18" fillId="0" borderId="25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vertical="center"/>
    </xf>
    <xf numFmtId="37" fontId="20" fillId="0" borderId="35" xfId="0" applyNumberFormat="1" applyFont="1" applyBorder="1" applyAlignment="1">
      <alignment horizontal="center" vertical="center"/>
    </xf>
    <xf numFmtId="9" fontId="21" fillId="0" borderId="60" xfId="4" applyFont="1" applyBorder="1" applyAlignment="1" applyProtection="1">
      <alignment horizontal="center" vertical="center"/>
    </xf>
    <xf numFmtId="37" fontId="20" fillId="0" borderId="61" xfId="0" applyNumberFormat="1" applyFont="1" applyBorder="1" applyAlignment="1">
      <alignment horizontal="center" vertical="center"/>
    </xf>
    <xf numFmtId="37" fontId="20" fillId="0" borderId="37" xfId="0" applyNumberFormat="1" applyFont="1" applyBorder="1" applyAlignment="1">
      <alignment horizontal="center" vertical="center"/>
    </xf>
    <xf numFmtId="37" fontId="20" fillId="0" borderId="13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vertical="center"/>
    </xf>
    <xf numFmtId="37" fontId="20" fillId="0" borderId="62" xfId="0" applyNumberFormat="1" applyFont="1" applyBorder="1" applyAlignment="1">
      <alignment horizontal="center" vertical="center"/>
    </xf>
    <xf numFmtId="9" fontId="21" fillId="0" borderId="63" xfId="4" applyFont="1" applyBorder="1" applyAlignment="1" applyProtection="1">
      <alignment horizontal="center" vertical="center"/>
    </xf>
    <xf numFmtId="37" fontId="20" fillId="0" borderId="51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vertical="center"/>
    </xf>
    <xf numFmtId="37" fontId="28" fillId="0" borderId="53" xfId="0" applyNumberFormat="1" applyFont="1" applyBorder="1" applyAlignment="1">
      <alignment horizontal="center" vertical="center"/>
    </xf>
    <xf numFmtId="9" fontId="28" fillId="0" borderId="54" xfId="4" applyFont="1" applyBorder="1" applyAlignment="1" applyProtection="1">
      <alignment horizontal="center" vertical="center"/>
    </xf>
    <xf numFmtId="37" fontId="28" fillId="0" borderId="7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37" fontId="26" fillId="0" borderId="56" xfId="0" applyNumberFormat="1" applyFont="1" applyBorder="1" applyAlignment="1">
      <alignment horizontal="center" vertical="center"/>
    </xf>
    <xf numFmtId="37" fontId="26" fillId="0" borderId="64" xfId="0" applyNumberFormat="1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3" fontId="30" fillId="0" borderId="9" xfId="2" applyNumberFormat="1" applyFont="1" applyBorder="1" applyAlignment="1">
      <alignment horizontal="center" vertical="center"/>
    </xf>
    <xf numFmtId="175" fontId="26" fillId="0" borderId="0" xfId="4" applyNumberFormat="1" applyFont="1" applyAlignment="1" applyProtection="1">
      <alignment horizontal="center" vertical="center"/>
    </xf>
    <xf numFmtId="175" fontId="21" fillId="0" borderId="0" xfId="0" applyNumberFormat="1" applyFont="1" applyAlignment="1">
      <alignment horizontal="center" vertical="center"/>
    </xf>
    <xf numFmtId="0" fontId="0" fillId="0" borderId="33" xfId="0" applyBorder="1"/>
    <xf numFmtId="0" fontId="0" fillId="0" borderId="58" xfId="0" applyBorder="1"/>
    <xf numFmtId="0" fontId="0" fillId="0" borderId="34" xfId="0" applyBorder="1"/>
    <xf numFmtId="9" fontId="26" fillId="0" borderId="9" xfId="4" applyFont="1" applyBorder="1" applyAlignment="1" applyProtection="1">
      <alignment horizontal="center" vertical="center"/>
    </xf>
    <xf numFmtId="0" fontId="0" fillId="0" borderId="0" xfId="0" pivotButton="1"/>
    <xf numFmtId="0" fontId="18" fillId="0" borderId="2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2" borderId="39" xfId="0" applyFont="1" applyFill="1" applyBorder="1" applyAlignment="1" applyProtection="1">
      <alignment horizontal="right" vertical="center"/>
      <protection locked="0"/>
    </xf>
    <xf numFmtId="4" fontId="20" fillId="2" borderId="38" xfId="0" applyNumberFormat="1" applyFont="1" applyFill="1" applyBorder="1" applyAlignment="1" applyProtection="1">
      <alignment horizontal="center" vertical="center"/>
      <protection locked="0"/>
    </xf>
    <xf numFmtId="0" fontId="20" fillId="2" borderId="44" xfId="0" applyFont="1" applyFill="1" applyBorder="1" applyAlignment="1" applyProtection="1">
      <alignment horizontal="right" vertical="center"/>
      <protection locked="0"/>
    </xf>
    <xf numFmtId="0" fontId="20" fillId="0" borderId="44" xfId="0" applyFont="1" applyBorder="1" applyAlignment="1" applyProtection="1">
      <alignment horizontal="right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4" fontId="20" fillId="0" borderId="6" xfId="0" applyNumberFormat="1" applyFont="1" applyBorder="1" applyAlignment="1" applyProtection="1">
      <alignment horizontal="center" vertical="center"/>
      <protection locked="0"/>
    </xf>
    <xf numFmtId="4" fontId="20" fillId="0" borderId="20" xfId="0" applyNumberFormat="1" applyFont="1" applyBorder="1" applyAlignment="1" applyProtection="1">
      <alignment horizontal="center" vertical="center"/>
      <protection locked="0"/>
    </xf>
    <xf numFmtId="4" fontId="20" fillId="0" borderId="11" xfId="0" applyNumberFormat="1" applyFont="1" applyBorder="1" applyAlignment="1" applyProtection="1">
      <alignment horizontal="center" vertical="center"/>
      <protection locked="0"/>
    </xf>
    <xf numFmtId="4" fontId="20" fillId="0" borderId="38" xfId="0" applyNumberFormat="1" applyFont="1" applyBorder="1" applyAlignment="1" applyProtection="1">
      <alignment horizontal="center" vertical="center"/>
      <protection locked="0"/>
    </xf>
    <xf numFmtId="0" fontId="20" fillId="2" borderId="65" xfId="0" applyFont="1" applyFill="1" applyBorder="1" applyAlignment="1" applyProtection="1">
      <alignment horizontal="right" vertical="center"/>
      <protection locked="0"/>
    </xf>
    <xf numFmtId="0" fontId="20" fillId="2" borderId="55" xfId="0" applyFont="1" applyFill="1" applyBorder="1" applyAlignment="1" applyProtection="1">
      <alignment horizontal="center" vertical="center"/>
      <protection locked="0"/>
    </xf>
    <xf numFmtId="4" fontId="20" fillId="2" borderId="3" xfId="0" applyNumberFormat="1" applyFont="1" applyFill="1" applyBorder="1" applyAlignment="1" applyProtection="1">
      <alignment horizontal="center" vertical="center"/>
      <protection locked="0"/>
    </xf>
    <xf numFmtId="4" fontId="20" fillId="2" borderId="10" xfId="0" applyNumberFormat="1" applyFont="1" applyFill="1" applyBorder="1" applyAlignment="1" applyProtection="1">
      <alignment horizontal="center" vertical="center"/>
      <protection locked="0"/>
    </xf>
    <xf numFmtId="4" fontId="20" fillId="2" borderId="4" xfId="0" applyNumberFormat="1" applyFont="1" applyFill="1" applyBorder="1" applyAlignment="1" applyProtection="1">
      <alignment horizontal="center" vertical="center"/>
      <protection locked="0"/>
    </xf>
    <xf numFmtId="4" fontId="20" fillId="2" borderId="43" xfId="0" applyNumberFormat="1" applyFont="1" applyFill="1" applyBorder="1" applyAlignment="1" applyProtection="1">
      <alignment horizontal="center" vertical="center"/>
      <protection locked="0"/>
    </xf>
    <xf numFmtId="0" fontId="20" fillId="2" borderId="50" xfId="0" applyFont="1" applyFill="1" applyBorder="1" applyAlignment="1" applyProtection="1">
      <alignment horizontal="right" vertical="center"/>
      <protection locked="0"/>
    </xf>
    <xf numFmtId="4" fontId="20" fillId="2" borderId="66" xfId="0" applyNumberFormat="1" applyFont="1" applyFill="1" applyBorder="1" applyAlignment="1" applyProtection="1">
      <alignment horizontal="center" vertical="center"/>
      <protection locked="0"/>
    </xf>
    <xf numFmtId="4" fontId="20" fillId="2" borderId="52" xfId="0" applyNumberFormat="1" applyFont="1" applyFill="1" applyBorder="1" applyAlignment="1" applyProtection="1">
      <alignment horizontal="center" vertical="center"/>
      <protection locked="0"/>
    </xf>
    <xf numFmtId="4" fontId="20" fillId="2" borderId="49" xfId="0" applyNumberFormat="1" applyFont="1" applyFill="1" applyBorder="1" applyAlignment="1" applyProtection="1">
      <alignment horizontal="center" vertical="center"/>
      <protection locked="0"/>
    </xf>
    <xf numFmtId="0" fontId="1" fillId="0" borderId="0" xfId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34" fillId="0" borderId="2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5">
    <cellStyle name="Lien hypertexte" xfId="1" builtinId="8"/>
    <cellStyle name="Milliers" xfId="2" builtinId="3"/>
    <cellStyle name="Monétaire" xfId="3" builtinId="4"/>
    <cellStyle name="Normal" xfId="0" builtinId="0"/>
    <cellStyle name="Pourcentage" xfId="4" builtinId="5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481964</xdr:colOff>
      <xdr:row>2</xdr:row>
      <xdr:rowOff>9525</xdr:rowOff>
    </xdr:from>
    <xdr:to>
      <xdr:col>11</xdr:col>
      <xdr:colOff>76199</xdr:colOff>
      <xdr:row>3</xdr:row>
      <xdr:rowOff>173355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274444" y="375285"/>
          <a:ext cx="7519035" cy="3467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defRPr/>
          </a:pPr>
          <a:r>
            <a:rPr lang="fr-FR" sz="1600" b="1" u="sng">
              <a:solidFill>
                <a:srgbClr val="F5801F"/>
              </a:solidFill>
              <a:latin typeface="Arial"/>
              <a:ea typeface="Calibri"/>
              <a:cs typeface="Times New Roman"/>
            </a:rPr>
            <a:t>Formation «Mon business Modèle de Milliardaire»</a:t>
          </a:r>
          <a:endParaRPr lang="fr-FR" sz="1600" b="1" u="sng">
            <a:latin typeface="Arial"/>
            <a:ea typeface="Calibri"/>
            <a:cs typeface="Times New Roman"/>
          </a:endParaRPr>
        </a:p>
        <a:p>
          <a:pPr algn="ctr">
            <a:lnSpc>
              <a:spcPct val="114999"/>
            </a:lnSpc>
            <a:spcAft>
              <a:spcPts val="1000"/>
            </a:spcAft>
            <a:defRPr/>
          </a:pPr>
          <a:r>
            <a:rPr lang="fr-FR" sz="1600" b="1" u="sng">
              <a:ea typeface="Calibri"/>
              <a:cs typeface="Times New Roman"/>
            </a:rPr>
            <a:t> </a:t>
          </a:r>
          <a:endParaRPr/>
        </a:p>
      </xdr:txBody>
    </xdr:sp>
    <xdr:clientData/>
  </xdr:twoCellAnchor>
  <xdr:twoCellAnchor>
    <xdr:from>
      <xdr:col>7</xdr:col>
      <xdr:colOff>137160</xdr:colOff>
      <xdr:row>22</xdr:row>
      <xdr:rowOff>144780</xdr:rowOff>
    </xdr:from>
    <xdr:to>
      <xdr:col>11</xdr:col>
      <xdr:colOff>365760</xdr:colOff>
      <xdr:row>23</xdr:row>
      <xdr:rowOff>106680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/>
        </xdr:cNvCxnSpPr>
      </xdr:nvCxnSpPr>
      <xdr:spPr bwMode="auto">
        <a:xfrm flipV="1">
          <a:off x="5684520" y="3810000"/>
          <a:ext cx="3398520" cy="1447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701040</xdr:colOff>
      <xdr:row>10</xdr:row>
      <xdr:rowOff>53341</xdr:rowOff>
    </xdr:from>
    <xdr:to>
      <xdr:col>16</xdr:col>
      <xdr:colOff>21734</xdr:colOff>
      <xdr:row>17</xdr:row>
      <xdr:rowOff>167640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210800" y="1516381"/>
          <a:ext cx="2490613" cy="1402080"/>
        </a:xfrm>
        <a:prstGeom prst="rect">
          <a:avLst/>
        </a:prstGeom>
      </xdr:spPr>
    </xdr:pic>
    <xdr:clientData/>
  </xdr:twoCellAnchor>
  <xdr:twoCellAnchor>
    <xdr:from>
      <xdr:col>11</xdr:col>
      <xdr:colOff>205740</xdr:colOff>
      <xdr:row>15</xdr:row>
      <xdr:rowOff>129539</xdr:rowOff>
    </xdr:from>
    <xdr:to>
      <xdr:col>12</xdr:col>
      <xdr:colOff>594360</xdr:colOff>
      <xdr:row>16</xdr:row>
      <xdr:rowOff>91440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/>
        </xdr:cNvCxnSpPr>
      </xdr:nvCxnSpPr>
      <xdr:spPr bwMode="auto">
        <a:xfrm flipV="1">
          <a:off x="8923020" y="2514600"/>
          <a:ext cx="1181099" cy="1447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502920</xdr:colOff>
      <xdr:row>19</xdr:row>
      <xdr:rowOff>22860</xdr:rowOff>
    </xdr:from>
    <xdr:to>
      <xdr:col>16</xdr:col>
      <xdr:colOff>335609</xdr:colOff>
      <xdr:row>26</xdr:row>
      <xdr:rowOff>83935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220200" y="3139440"/>
          <a:ext cx="3795089" cy="1341236"/>
        </a:xfrm>
        <a:prstGeom prst="rect">
          <a:avLst/>
        </a:prstGeom>
      </xdr:spPr>
    </xdr:pic>
    <xdr:clientData/>
  </xdr:twoCellAnchor>
  <xdr:twoCellAnchor editAs="oneCell">
    <xdr:from>
      <xdr:col>11</xdr:col>
      <xdr:colOff>198120</xdr:colOff>
      <xdr:row>27</xdr:row>
      <xdr:rowOff>106680</xdr:rowOff>
    </xdr:from>
    <xdr:to>
      <xdr:col>16</xdr:col>
      <xdr:colOff>289911</xdr:colOff>
      <xdr:row>32</xdr:row>
      <xdr:rowOff>30553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8915400" y="4686300"/>
          <a:ext cx="4054191" cy="838273"/>
        </a:xfrm>
        <a:prstGeom prst="rect">
          <a:avLst/>
        </a:prstGeom>
      </xdr:spPr>
    </xdr:pic>
    <xdr:clientData/>
  </xdr:twoCellAnchor>
  <xdr:twoCellAnchor>
    <xdr:from>
      <xdr:col>5</xdr:col>
      <xdr:colOff>495299</xdr:colOff>
      <xdr:row>24</xdr:row>
      <xdr:rowOff>121920</xdr:rowOff>
    </xdr:from>
    <xdr:to>
      <xdr:col>11</xdr:col>
      <xdr:colOff>91440</xdr:colOff>
      <xdr:row>27</xdr:row>
      <xdr:rowOff>22860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/>
        </xdr:cNvCxnSpPr>
      </xdr:nvCxnSpPr>
      <xdr:spPr bwMode="auto">
        <a:xfrm>
          <a:off x="4457700" y="4335780"/>
          <a:ext cx="4351020" cy="4495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28575</xdr:colOff>
      <xdr:row>0</xdr:row>
      <xdr:rowOff>85725</xdr:rowOff>
    </xdr:from>
    <xdr:to>
      <xdr:col>2</xdr:col>
      <xdr:colOff>10418</xdr:colOff>
      <xdr:row>4</xdr:row>
      <xdr:rowOff>189432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E6E9F9E-62CF-A19A-48C5-AACDB818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85725"/>
          <a:ext cx="1505843" cy="865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4</xdr:row>
      <xdr:rowOff>80010</xdr:rowOff>
    </xdr:from>
    <xdr:to>
      <xdr:col>0</xdr:col>
      <xdr:colOff>1287780</xdr:colOff>
      <xdr:row>10</xdr:row>
      <xdr:rowOff>15387</xdr:rowOff>
    </xdr:to>
    <xdr:pic>
      <xdr:nvPicPr>
        <xdr:cNvPr id="6" name="Picture 5" descr="C:\Users\Jimmy\Dropbox\Elycoop\COMMUNICATION\Commission_communication\2-Outils_actions\logos&amp;baseline\logo-elycoop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9531" y="811530"/>
          <a:ext cx="1238250" cy="1032657"/>
        </a:xfrm>
        <a:prstGeom prst="rect">
          <a:avLst/>
        </a:prstGeom>
        <a:noFill/>
      </xdr:spPr>
    </xdr:pic>
    <xdr:clientData/>
  </xdr:twoCellAnchor>
  <xdr:twoCellAnchor>
    <xdr:from>
      <xdr:col>15</xdr:col>
      <xdr:colOff>449580</xdr:colOff>
      <xdr:row>0</xdr:row>
      <xdr:rowOff>30480</xdr:rowOff>
    </xdr:from>
    <xdr:to>
      <xdr:col>15</xdr:col>
      <xdr:colOff>594360</xdr:colOff>
      <xdr:row>2</xdr:row>
      <xdr:rowOff>121920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/>
        </xdr:cNvCxnSpPr>
      </xdr:nvCxnSpPr>
      <xdr:spPr bwMode="auto">
        <a:xfrm flipH="1" flipV="1">
          <a:off x="11064240" y="30480"/>
          <a:ext cx="144780" cy="4572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106680</xdr:colOff>
      <xdr:row>3</xdr:row>
      <xdr:rowOff>45720</xdr:rowOff>
    </xdr:from>
    <xdr:to>
      <xdr:col>17</xdr:col>
      <xdr:colOff>457200</xdr:colOff>
      <xdr:row>11</xdr:row>
      <xdr:rowOff>30480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 bwMode="auto">
        <a:xfrm>
          <a:off x="10721340" y="594360"/>
          <a:ext cx="16002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defRPr/>
          </a:pPr>
          <a:r>
            <a:rPr lang="fr-FR" sz="1100">
              <a:solidFill>
                <a:srgbClr val="FF0000"/>
              </a:solidFill>
            </a:rPr>
            <a:t>Cliquer sur le + dans la barre pour le détail</a:t>
          </a:r>
        </a:p>
      </xdr:txBody>
    </xdr:sp>
    <xdr:clientData/>
  </xdr:twoCellAnchor>
  <xdr:twoCellAnchor>
    <xdr:from>
      <xdr:col>1</xdr:col>
      <xdr:colOff>1325880</xdr:colOff>
      <xdr:row>38</xdr:row>
      <xdr:rowOff>15240</xdr:rowOff>
    </xdr:from>
    <xdr:to>
      <xdr:col>2</xdr:col>
      <xdr:colOff>495299</xdr:colOff>
      <xdr:row>42</xdr:row>
      <xdr:rowOff>152400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cxnSpLocks/>
        </xdr:cNvCxnSpPr>
      </xdr:nvCxnSpPr>
      <xdr:spPr bwMode="auto">
        <a:xfrm flipV="1">
          <a:off x="5554980" y="6652260"/>
          <a:ext cx="929640" cy="914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1424940</xdr:colOff>
      <xdr:row>1</xdr:row>
      <xdr:rowOff>76200</xdr:rowOff>
    </xdr:from>
    <xdr:to>
      <xdr:col>3</xdr:col>
      <xdr:colOff>1402080</xdr:colOff>
      <xdr:row>3</xdr:row>
      <xdr:rowOff>57150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1645920" y="259080"/>
          <a:ext cx="7696200" cy="3467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defRPr/>
          </a:pPr>
          <a:r>
            <a:rPr lang="fr-FR" sz="1600" b="1" u="sng">
              <a:solidFill>
                <a:srgbClr val="F5801F"/>
              </a:solidFill>
              <a:latin typeface="Arial"/>
              <a:ea typeface="Calibri"/>
              <a:cs typeface="Times New Roman"/>
            </a:rPr>
            <a:t>Formation «Mon business modèle de milliardaire»</a:t>
          </a:r>
          <a:endParaRPr lang="fr-FR" sz="1600" b="1" u="sng">
            <a:latin typeface="Arial"/>
            <a:ea typeface="Calibri"/>
            <a:cs typeface="Times New Roman"/>
          </a:endParaRPr>
        </a:p>
        <a:p>
          <a:pPr algn="ctr">
            <a:lnSpc>
              <a:spcPct val="114999"/>
            </a:lnSpc>
            <a:spcAft>
              <a:spcPts val="1000"/>
            </a:spcAft>
            <a:defRPr/>
          </a:pPr>
          <a:r>
            <a:rPr lang="fr-FR" sz="1600" b="1" u="sng">
              <a:ea typeface="Calibri"/>
              <a:cs typeface="Times New Roman"/>
            </a:rPr>
            <a:t> 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108858</xdr:rowOff>
    </xdr:from>
    <xdr:to>
      <xdr:col>1</xdr:col>
      <xdr:colOff>1455964</xdr:colOff>
      <xdr:row>7</xdr:row>
      <xdr:rowOff>34380</xdr:rowOff>
    </xdr:to>
    <xdr:pic>
      <xdr:nvPicPr>
        <xdr:cNvPr id="6" name="Picture 5" descr="C:\Users\Jimmy\Dropbox\Elycoop\COMMUNICATION\Commission_communication\2-Outils_actions\logos&amp;baseline\logo-elycoop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62643" y="108858"/>
          <a:ext cx="1455964" cy="1259022"/>
        </a:xfrm>
        <a:prstGeom prst="rect">
          <a:avLst/>
        </a:prstGeom>
        <a:noFill/>
      </xdr:spPr>
    </xdr:pic>
    <xdr:clientData/>
  </xdr:twoCellAnchor>
  <xdr:twoCellAnchor>
    <xdr:from>
      <xdr:col>1</xdr:col>
      <xdr:colOff>2645228</xdr:colOff>
      <xdr:row>1</xdr:row>
      <xdr:rowOff>97971</xdr:rowOff>
    </xdr:from>
    <xdr:to>
      <xdr:col>6</xdr:col>
      <xdr:colOff>410391</xdr:colOff>
      <xdr:row>3</xdr:row>
      <xdr:rowOff>74567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3113314" y="283028"/>
          <a:ext cx="7703820" cy="3467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defRPr/>
          </a:pPr>
          <a:r>
            <a:rPr lang="fr-FR" sz="1600" b="1" u="sng">
              <a:solidFill>
                <a:srgbClr val="F5801F"/>
              </a:solidFill>
              <a:latin typeface="Arial"/>
              <a:ea typeface="Calibri"/>
              <a:cs typeface="Times New Roman"/>
            </a:rPr>
            <a:t>Formation «Mon business modèle de milliardaire»</a:t>
          </a:r>
          <a:endParaRPr lang="fr-FR" sz="1600" b="1" u="sng">
            <a:latin typeface="Arial"/>
            <a:ea typeface="Calibri"/>
            <a:cs typeface="Times New Roman"/>
          </a:endParaRPr>
        </a:p>
        <a:p>
          <a:pPr algn="ctr">
            <a:lnSpc>
              <a:spcPct val="114999"/>
            </a:lnSpc>
            <a:spcAft>
              <a:spcPts val="1000"/>
            </a:spcAft>
            <a:defRPr/>
          </a:pPr>
          <a:r>
            <a:rPr lang="fr-FR" sz="1600" b="1" u="sng">
              <a:ea typeface="Calibri"/>
              <a:cs typeface="Times New Roman"/>
            </a:rPr>
            <a:t> </a:t>
          </a:r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746125</xdr:colOff>
      <xdr:row>0</xdr:row>
      <xdr:rowOff>31749</xdr:rowOff>
    </xdr:from>
    <xdr:to>
      <xdr:col>1</xdr:col>
      <xdr:colOff>1555751</xdr:colOff>
      <xdr:row>7</xdr:row>
      <xdr:rowOff>57288</xdr:rowOff>
    </xdr:to>
    <xdr:pic>
      <xdr:nvPicPr>
        <xdr:cNvPr id="6" name="Picture 5" descr="C:\Users\Jimmy\Dropbox\Elycoop\COMMUNICATION\Commission_communication\2-Outils_actions\logos&amp;baseline\logo-elycoop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46125" y="31749"/>
          <a:ext cx="1571626" cy="1359039"/>
        </a:xfrm>
        <a:prstGeom prst="rect">
          <a:avLst/>
        </a:prstGeom>
        <a:noFill/>
      </xdr:spPr>
    </xdr:pic>
    <xdr:clientData/>
  </xdr:twoCellAnchor>
  <xdr:twoCellAnchor>
    <xdr:from>
      <xdr:col>1</xdr:col>
      <xdr:colOff>2235199</xdr:colOff>
      <xdr:row>1</xdr:row>
      <xdr:rowOff>169333</xdr:rowOff>
    </xdr:from>
    <xdr:to>
      <xdr:col>4</xdr:col>
      <xdr:colOff>2726266</xdr:colOff>
      <xdr:row>3</xdr:row>
      <xdr:rowOff>143510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3031066" y="355600"/>
          <a:ext cx="7696200" cy="3467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defRPr/>
          </a:pPr>
          <a:r>
            <a:rPr lang="fr-FR" sz="1600" b="1" u="sng">
              <a:solidFill>
                <a:srgbClr val="F5801F"/>
              </a:solidFill>
              <a:latin typeface="Arial"/>
              <a:ea typeface="Calibri"/>
              <a:cs typeface="Times New Roman"/>
            </a:rPr>
            <a:t>Formation « Mon business Modèle de Milliardaire»</a:t>
          </a:r>
          <a:endParaRPr lang="fr-FR" sz="1600" b="1" u="sng">
            <a:latin typeface="Arial"/>
            <a:ea typeface="Calibri"/>
            <a:cs typeface="Times New Roman"/>
          </a:endParaRPr>
        </a:p>
        <a:p>
          <a:pPr algn="ctr">
            <a:lnSpc>
              <a:spcPct val="114999"/>
            </a:lnSpc>
            <a:spcAft>
              <a:spcPts val="1000"/>
            </a:spcAft>
            <a:defRPr/>
          </a:pPr>
          <a:r>
            <a:rPr lang="fr-FR" sz="1600" b="1" u="sng">
              <a:ea typeface="Calibri"/>
              <a:cs typeface="Times New Roman"/>
            </a:rPr>
            <a:t> </a:t>
          </a:r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52753</xdr:colOff>
      <xdr:row>6</xdr:row>
      <xdr:rowOff>49822</xdr:rowOff>
    </xdr:from>
    <xdr:to>
      <xdr:col>5</xdr:col>
      <xdr:colOff>731910</xdr:colOff>
      <xdr:row>43</xdr:row>
      <xdr:rowOff>11723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2753" y="1140069"/>
          <a:ext cx="4635696" cy="6685085"/>
        </a:xfrm>
        <a:prstGeom prst="rect">
          <a:avLst/>
        </a:prstGeom>
      </xdr:spPr>
    </xdr:pic>
    <xdr:clientData/>
  </xdr:twoCellAnchor>
  <xdr:twoCellAnchor editAs="oneCell">
    <xdr:from>
      <xdr:col>5</xdr:col>
      <xdr:colOff>678766</xdr:colOff>
      <xdr:row>6</xdr:row>
      <xdr:rowOff>24617</xdr:rowOff>
    </xdr:from>
    <xdr:to>
      <xdr:col>12</xdr:col>
      <xdr:colOff>504087</xdr:colOff>
      <xdr:row>43</xdr:row>
      <xdr:rowOff>77958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4635304" y="1114864"/>
          <a:ext cx="5364475" cy="6776525"/>
        </a:xfrm>
        <a:prstGeom prst="rect">
          <a:avLst/>
        </a:prstGeom>
      </xdr:spPr>
    </xdr:pic>
    <xdr:clientData/>
  </xdr:twoCellAnchor>
  <xdr:twoCellAnchor>
    <xdr:from>
      <xdr:col>1</xdr:col>
      <xdr:colOff>701040</xdr:colOff>
      <xdr:row>3</xdr:row>
      <xdr:rowOff>60960</xdr:rowOff>
    </xdr:from>
    <xdr:to>
      <xdr:col>2</xdr:col>
      <xdr:colOff>38100</xdr:colOff>
      <xdr:row>5</xdr:row>
      <xdr:rowOff>91440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>
          <a:cxnSpLocks/>
        </xdr:cNvCxnSpPr>
      </xdr:nvCxnSpPr>
      <xdr:spPr bwMode="auto">
        <a:xfrm>
          <a:off x="1493520" y="609600"/>
          <a:ext cx="129540" cy="396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647699</xdr:colOff>
      <xdr:row>0</xdr:row>
      <xdr:rowOff>106680</xdr:rowOff>
    </xdr:from>
    <xdr:to>
      <xdr:col>8</xdr:col>
      <xdr:colOff>716280</xdr:colOff>
      <xdr:row>0</xdr:row>
      <xdr:rowOff>106680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>
          <a:cxnSpLocks/>
        </xdr:cNvCxnSpPr>
      </xdr:nvCxnSpPr>
      <xdr:spPr bwMode="auto">
        <a:xfrm>
          <a:off x="6195060" y="472440"/>
          <a:ext cx="86106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732106</xdr:colOff>
      <xdr:row>1</xdr:row>
      <xdr:rowOff>103163</xdr:rowOff>
    </xdr:from>
    <xdr:to>
      <xdr:col>9</xdr:col>
      <xdr:colOff>9379</xdr:colOff>
      <xdr:row>1</xdr:row>
      <xdr:rowOff>103163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>
          <a:cxnSpLocks/>
        </xdr:cNvCxnSpPr>
      </xdr:nvCxnSpPr>
      <xdr:spPr bwMode="auto">
        <a:xfrm>
          <a:off x="6271260" y="284871"/>
          <a:ext cx="85988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456614</xdr:colOff>
      <xdr:row>2</xdr:row>
      <xdr:rowOff>126610</xdr:rowOff>
    </xdr:from>
    <xdr:to>
      <xdr:col>8</xdr:col>
      <xdr:colOff>750276</xdr:colOff>
      <xdr:row>2</xdr:row>
      <xdr:rowOff>128953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>
          <a:cxnSpLocks/>
        </xdr:cNvCxnSpPr>
      </xdr:nvCxnSpPr>
      <xdr:spPr bwMode="auto">
        <a:xfrm>
          <a:off x="5995768" y="490025"/>
          <a:ext cx="1084970" cy="234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315938</xdr:colOff>
      <xdr:row>3</xdr:row>
      <xdr:rowOff>132471</xdr:rowOff>
    </xdr:from>
    <xdr:to>
      <xdr:col>8</xdr:col>
      <xdr:colOff>762000</xdr:colOff>
      <xdr:row>3</xdr:row>
      <xdr:rowOff>134815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>
          <a:cxnSpLocks/>
        </xdr:cNvCxnSpPr>
      </xdr:nvCxnSpPr>
      <xdr:spPr bwMode="auto">
        <a:xfrm>
          <a:off x="5855091" y="677594"/>
          <a:ext cx="1237370" cy="234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35169</xdr:colOff>
      <xdr:row>4</xdr:row>
      <xdr:rowOff>123092</xdr:rowOff>
    </xdr:from>
    <xdr:to>
      <xdr:col>8</xdr:col>
      <xdr:colOff>750276</xdr:colOff>
      <xdr:row>4</xdr:row>
      <xdr:rowOff>128953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>
          <a:cxnSpLocks/>
        </xdr:cNvCxnSpPr>
      </xdr:nvCxnSpPr>
      <xdr:spPr bwMode="auto">
        <a:xfrm>
          <a:off x="6365631" y="849924"/>
          <a:ext cx="715107" cy="586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immy" id="{0FF766B1-44E5-2D84-CE22-9D27E534BA11}" userId="" providerId=""/>
  <person displayName="Jimmy Mercante" id="{4001CE49-7157-8C08-618D-53C182787B9E}" userId="" providerId="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mille" refreshedDate="45457.567230208333" createdVersion="8" refreshedVersion="8" minRefreshableVersion="3" recordCount="10" xr:uid="{F07D89B7-2BF6-47B2-AA2E-EF4239F716F1}">
  <cacheSource type="worksheet">
    <worksheetSource ref="A63:G73" sheet="Mix_prix_presta"/>
  </cacheSource>
  <cacheFields count="7">
    <cacheField name="Type" numFmtId="0">
      <sharedItems containsMixedTypes="1" containsNumber="1" containsInteger="1" minValue="0" maxValue="0" count="2">
        <n v="0"/>
        <s v="OF"/>
      </sharedItems>
    </cacheField>
    <cacheField name="ou services" numFmtId="0">
      <sharedItems containsSemiMixedTypes="0" containsString="0" containsNumber="1" containsInteger="1" minValue="0" maxValue="0"/>
    </cacheField>
    <cacheField name="valor." numFmtId="37">
      <sharedItems containsSemiMixedTypes="0" containsString="0" containsNumber="1" containsInteger="1" minValue="0" maxValue="0"/>
    </cacheField>
    <cacheField name="%" numFmtId="9">
      <sharedItems/>
    </cacheField>
    <cacheField name="valor.2" numFmtId="37">
      <sharedItems containsSemiMixedTypes="0" containsString="0" containsNumber="1" containsInteger="1" minValue="0" maxValue="0"/>
    </cacheField>
    <cacheField name="%2" numFmtId="9">
      <sharedItems/>
    </cacheField>
    <cacheField name="valor.3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0"/>
    <n v="0"/>
    <e v="#DIV/0!"/>
    <n v="0"/>
    <e v="#DIV/0!"/>
    <n v="0"/>
  </r>
  <r>
    <x v="0"/>
    <n v="0"/>
    <n v="0"/>
    <e v="#DIV/0!"/>
    <n v="0"/>
    <e v="#DIV/0!"/>
    <n v="0"/>
  </r>
  <r>
    <x v="0"/>
    <n v="0"/>
    <n v="0"/>
    <e v="#DIV/0!"/>
    <n v="0"/>
    <e v="#DIV/0!"/>
    <n v="0"/>
  </r>
  <r>
    <x v="0"/>
    <n v="0"/>
    <n v="0"/>
    <e v="#DIV/0!"/>
    <n v="0"/>
    <e v="#DIV/0!"/>
    <n v="0"/>
  </r>
  <r>
    <x v="0"/>
    <n v="0"/>
    <n v="0"/>
    <e v="#DIV/0!"/>
    <n v="0"/>
    <e v="#DIV/0!"/>
    <n v="0"/>
  </r>
  <r>
    <x v="0"/>
    <n v="0"/>
    <n v="0"/>
    <e v="#DIV/0!"/>
    <n v="0"/>
    <e v="#DIV/0!"/>
    <n v="0"/>
  </r>
  <r>
    <x v="0"/>
    <n v="0"/>
    <n v="0"/>
    <e v="#DIV/0!"/>
    <n v="0"/>
    <e v="#DIV/0!"/>
    <n v="0"/>
  </r>
  <r>
    <x v="0"/>
    <n v="0"/>
    <n v="0"/>
    <e v="#DIV/0!"/>
    <n v="0"/>
    <e v="#DIV/0!"/>
    <n v="0"/>
  </r>
  <r>
    <x v="0"/>
    <n v="0"/>
    <n v="0"/>
    <e v="#DIV/0!"/>
    <n v="0"/>
    <e v="#DIV/0!"/>
    <n v="0"/>
  </r>
  <r>
    <x v="1"/>
    <n v="0"/>
    <n v="0"/>
    <e v="#DIV/0!"/>
    <n v="0"/>
    <e v="#DIV/0!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F5AC4F-970F-4D38-AE65-3AB0D2C8566C}" name="Tableau croisé dynamique1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2:D5" firstHeaderRow="0" firstDataRow="1" firstDataCol="1"/>
  <pivotFields count="7">
    <pivotField axis="axisRow" showAll="0">
      <items count="3">
        <item x="0"/>
        <item x="1"/>
        <item t="default"/>
      </items>
    </pivotField>
    <pivotField showAll="0"/>
    <pivotField dataField="1" numFmtId="37" showAll="0"/>
    <pivotField numFmtId="9" showAll="0"/>
    <pivotField dataField="1" numFmtId="37" showAll="0"/>
    <pivotField showAll="0"/>
    <pivotField dataField="1" numFmtId="37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valor." fld="2" baseField="0" baseItem="0"/>
    <dataField name="Somme de valor.2" fld="4" baseField="0" baseItem="0"/>
    <dataField name="Somme de valor.3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2" personId="{0FF766B1-44E5-2D84-CE22-9D27E534BA11}" id="{00EF0071-001A-4211-92E2-005500FF00F8}">
    <text xml:space="preserve">Avec un mois de repos ! Pour bien entreprendre, il faut se reposer aussi ;-)
</text>
  </threadedComment>
  <threadedComment ref="B44" personId="{0FF766B1-44E5-2D84-CE22-9D27E534BA11}" id="{00FF0096-0055-4810-BD88-00EF00B10033}">
    <text xml:space="preserve">Possibilité de fixer un prix par produit ou contrat
</text>
  </threadedComment>
  <threadedComment ref="B56" personId="{0FF766B1-44E5-2D84-CE22-9D27E534BA11}" id="{00610081-00C3-40B3-998A-0088003C00CC}">
    <text xml:space="preserve">Données statistiques moyenne (à relativiser par activité)
Processus de commercialisation via le téléphone : 3 ventes pour 100 prospection
Prise de RDV tél :                100
RDV de découverte obtenu :  20
Débouchant sur une démo :     8
Débouchant sur 1 rdv contrat : 5
Débouchant sur 1 vente :        3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7" personId="{0FF766B1-44E5-2D84-CE22-9D27E534BA11}" id="{00EF00AB-00C7-4C23-9AC3-00EB008D00F8}">
    <text xml:space="preserve">Seuil de rentabilité annuel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32" personId="{4001CE49-7157-8C08-618D-53C182787B9E}" id="{003800E5-0054-4935-B952-00A9006E00D2}">
    <text xml:space="preserve">UNITES DE VENTE :
- Forfait
- Taux horaire
- Prix jour
</text>
  </threadedComment>
  <threadedComment ref="D32" personId="{4001CE49-7157-8C08-618D-53C182787B9E}" id="{001E0083-0045-4D26-B2D6-00D4000C0082}">
    <text xml:space="preserve">TYPOLOGIE CLIENTS :
- Particuliers
- Professionnels
- Secteurs d'activité
- Zones géographiques
</text>
  </threadedComment>
  <threadedComment ref="E32" personId="{4001CE49-7157-8C08-618D-53C182787B9E}" id="{005400B7-0083-475C-981E-00ED000600A8}">
    <text xml:space="preserve">QUANTITE DE VENTE :
- dégrssivité des prix par quantité commandée
</text>
  </threadedComment>
  <threadedComment ref="F32" personId="{4001CE49-7157-8C08-618D-53C182787B9E}" id="{00290017-00F7-47F6-A424-007500330003}">
    <text xml:space="preserve">FREQUENCE :
- clients très réguliers
- clients très ponctuels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nager-go.com/management/fixer-tarifs-consultant.htm" TargetMode="External"/><Relationship Id="rId2" Type="http://schemas.openxmlformats.org/officeDocument/2006/relationships/hyperlink" Target="https://business.lesechos.fr/entrepreneurs/marketing-vente/106224-comment-fixer-le-tarif-de-ses-prestations-26914.php" TargetMode="External"/><Relationship Id="rId1" Type="http://schemas.openxmlformats.org/officeDocument/2006/relationships/hyperlink" Target="http://www.dynamique-mag.com/article/pas-prostituer-sacrifier-prix.4727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s://business.lesechos.fr/entrepreneurs/marketing-vente/quatre-strategies-pour-etablir-ses-prix-311785.php?xtor=EPR-21-%255Bentrepreneurs%255D-20170718-%255BProv_%255D-1674801" TargetMode="External"/><Relationship Id="rId4" Type="http://schemas.openxmlformats.org/officeDocument/2006/relationships/hyperlink" Target="https://go.ted.com/Cy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5:O35"/>
  <sheetViews>
    <sheetView tabSelected="1" workbookViewId="0">
      <selection activeCell="F6" sqref="F6"/>
    </sheetView>
  </sheetViews>
  <sheetFormatPr baseColWidth="10" defaultRowHeight="15" x14ac:dyDescent="0.25"/>
  <sheetData>
    <row r="5" spans="2:15" x14ac:dyDescent="0.25">
      <c r="F5" s="1" t="s">
        <v>0</v>
      </c>
    </row>
    <row r="6" spans="2:15" x14ac:dyDescent="0.25">
      <c r="F6" t="s">
        <v>202</v>
      </c>
    </row>
    <row r="8" spans="2:15" x14ac:dyDescent="0.25">
      <c r="B8" s="284" t="s">
        <v>1</v>
      </c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</row>
    <row r="9" spans="2:15" x14ac:dyDescent="0.25">
      <c r="B9" t="s">
        <v>2</v>
      </c>
    </row>
    <row r="11" spans="2:15" x14ac:dyDescent="0.25">
      <c r="B11" s="283" t="s">
        <v>3</v>
      </c>
      <c r="C11" s="283"/>
      <c r="D11" s="283"/>
      <c r="E11" s="283"/>
      <c r="F11" s="283"/>
      <c r="G11" s="283"/>
      <c r="H11" s="283"/>
      <c r="I11" s="283"/>
      <c r="J11" s="3"/>
    </row>
    <row r="13" spans="2:15" x14ac:dyDescent="0.25">
      <c r="B13" s="284" t="s">
        <v>4</v>
      </c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</row>
    <row r="14" spans="2:15" x14ac:dyDescent="0.25">
      <c r="B14" s="284" t="s">
        <v>5</v>
      </c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2:15" x14ac:dyDescent="0.25">
      <c r="B15" s="284" t="s">
        <v>6</v>
      </c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</row>
    <row r="16" spans="2:15" x14ac:dyDescent="0.25">
      <c r="B16" s="2" t="s">
        <v>7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5" x14ac:dyDescent="0.25">
      <c r="B17" s="2" t="s">
        <v>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9" spans="2:15" x14ac:dyDescent="0.25">
      <c r="B19" s="283" t="s">
        <v>9</v>
      </c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</row>
    <row r="21" spans="2:15" x14ac:dyDescent="0.25">
      <c r="B21" s="284" t="s">
        <v>10</v>
      </c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</row>
    <row r="22" spans="2:15" x14ac:dyDescent="0.25">
      <c r="B22" s="284" t="s">
        <v>11</v>
      </c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</row>
    <row r="23" spans="2:15" x14ac:dyDescent="0.25">
      <c r="B23" s="284" t="s">
        <v>12</v>
      </c>
      <c r="C23" s="284"/>
      <c r="D23" s="284"/>
      <c r="E23" s="284"/>
      <c r="F23" s="284"/>
      <c r="G23" s="284"/>
      <c r="H23" s="284"/>
      <c r="I23" s="284"/>
      <c r="J23" s="284"/>
      <c r="K23" s="284"/>
    </row>
    <row r="24" spans="2:15" x14ac:dyDescent="0.25">
      <c r="B24" s="284" t="s">
        <v>13</v>
      </c>
      <c r="C24" s="284"/>
      <c r="D24" s="284"/>
      <c r="E24" s="284"/>
      <c r="F24" s="284"/>
      <c r="G24" s="284"/>
      <c r="H24" s="284"/>
      <c r="I24" s="284"/>
      <c r="J24" s="284"/>
      <c r="K24" s="284"/>
    </row>
    <row r="25" spans="2:15" x14ac:dyDescent="0.25">
      <c r="B25" t="s">
        <v>14</v>
      </c>
    </row>
    <row r="28" spans="2:15" x14ac:dyDescent="0.25">
      <c r="B28" t="s">
        <v>15</v>
      </c>
    </row>
    <row r="29" spans="2:15" x14ac:dyDescent="0.25">
      <c r="B29" t="s">
        <v>16</v>
      </c>
    </row>
    <row r="31" spans="2:15" x14ac:dyDescent="0.25">
      <c r="B31" t="s">
        <v>17</v>
      </c>
    </row>
    <row r="32" spans="2:15" x14ac:dyDescent="0.25">
      <c r="B32" t="s">
        <v>18</v>
      </c>
    </row>
    <row r="33" spans="2:2" x14ac:dyDescent="0.25">
      <c r="B33" t="s">
        <v>19</v>
      </c>
    </row>
    <row r="35" spans="2:2" x14ac:dyDescent="0.25">
      <c r="B35" t="s">
        <v>20</v>
      </c>
    </row>
  </sheetData>
  <mergeCells count="10">
    <mergeCell ref="B8:O8"/>
    <mergeCell ref="B11:I11"/>
    <mergeCell ref="B13:O13"/>
    <mergeCell ref="B14:O14"/>
    <mergeCell ref="B15:O15"/>
    <mergeCell ref="B19:O19"/>
    <mergeCell ref="B21:O21"/>
    <mergeCell ref="B22:O22"/>
    <mergeCell ref="B23:K23"/>
    <mergeCell ref="B24:K24"/>
  </mergeCells>
  <pageMargins left="0.7" right="0.7" top="0.75" bottom="0.75" header="0.3" footer="0.3"/>
  <pageSetup paperSize="9" firstPageNumber="429496729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3:S62"/>
  <sheetViews>
    <sheetView topLeftCell="A42" workbookViewId="0">
      <selection activeCell="C18" sqref="C18"/>
    </sheetView>
  </sheetViews>
  <sheetFormatPr baseColWidth="10" defaultColWidth="9.28515625" defaultRowHeight="15" outlineLevelCol="1" x14ac:dyDescent="0.25"/>
  <cols>
    <col min="1" max="1" width="58.28515625" customWidth="1"/>
    <col min="2" max="2" width="25.7109375" customWidth="1"/>
    <col min="3" max="3" width="29.7109375" customWidth="1"/>
    <col min="4" max="4" width="28.5703125" bestFit="1" customWidth="1"/>
    <col min="6" max="6" width="46.7109375" hidden="1" customWidth="1" outlineLevel="1"/>
    <col min="7" max="7" width="12.7109375" hidden="1" customWidth="1" outlineLevel="1"/>
    <col min="8" max="8" width="12.28515625" hidden="1" customWidth="1" outlineLevel="1"/>
    <col min="9" max="9" width="9.28515625" hidden="1" customWidth="1" outlineLevel="1"/>
    <col min="10" max="10" width="9.5703125" hidden="1" customWidth="1" outlineLevel="1"/>
    <col min="11" max="11" width="15.85546875" hidden="1" customWidth="1" outlineLevel="1"/>
    <col min="12" max="12" width="12.7109375" hidden="1" customWidth="1" outlineLevel="1"/>
    <col min="13" max="15" width="9.28515625" hidden="1" customWidth="1" outlineLevel="1"/>
    <col min="16" max="16" width="9.28515625" collapsed="1"/>
    <col min="17" max="17" width="0" hidden="1" customWidth="1"/>
    <col min="18" max="19" width="10.7109375" hidden="1" customWidth="1"/>
  </cols>
  <sheetData>
    <row r="3" spans="1:19" x14ac:dyDescent="0.25">
      <c r="F3" s="4"/>
    </row>
    <row r="5" spans="1:19" x14ac:dyDescent="0.25">
      <c r="B5" s="5" t="s">
        <v>21</v>
      </c>
      <c r="C5" s="6" t="s">
        <v>22</v>
      </c>
    </row>
    <row r="7" spans="1:19" x14ac:dyDescent="0.25">
      <c r="H7" s="4"/>
      <c r="K7" s="7"/>
    </row>
    <row r="8" spans="1:19" x14ac:dyDescent="0.25">
      <c r="K8" s="8"/>
    </row>
    <row r="9" spans="1:19" x14ac:dyDescent="0.25">
      <c r="B9" t="s">
        <v>23</v>
      </c>
      <c r="C9" s="3"/>
      <c r="F9" s="9" t="s">
        <v>24</v>
      </c>
    </row>
    <row r="10" spans="1:19" x14ac:dyDescent="0.25">
      <c r="B10" t="s">
        <v>25</v>
      </c>
      <c r="C10" s="10"/>
      <c r="F10" s="11"/>
      <c r="G10" s="12" t="s">
        <v>26</v>
      </c>
      <c r="H10" s="12" t="s">
        <v>27</v>
      </c>
      <c r="I10" s="13"/>
    </row>
    <row r="11" spans="1:19" x14ac:dyDescent="0.25">
      <c r="F11" s="14" t="s">
        <v>28</v>
      </c>
      <c r="G11" s="15">
        <f t="shared" ref="G11:G14" si="0">H11/12</f>
        <v>0</v>
      </c>
      <c r="H11" s="16">
        <f>C14*12</f>
        <v>0</v>
      </c>
      <c r="I11" s="17"/>
    </row>
    <row r="12" spans="1:19" ht="18.75" x14ac:dyDescent="0.3">
      <c r="A12" s="288" t="s">
        <v>29</v>
      </c>
      <c r="B12" s="289"/>
      <c r="C12" s="289"/>
      <c r="D12" s="18"/>
      <c r="F12" s="19" t="s">
        <v>30</v>
      </c>
      <c r="G12" s="20">
        <f t="shared" si="0"/>
        <v>0</v>
      </c>
      <c r="H12" s="20">
        <f>H11/0.77</f>
        <v>0</v>
      </c>
      <c r="I12" s="17"/>
    </row>
    <row r="13" spans="1:19" x14ac:dyDescent="0.25">
      <c r="A13" s="21"/>
      <c r="D13" s="22"/>
      <c r="F13" s="19" t="s">
        <v>31</v>
      </c>
      <c r="G13" s="20">
        <f t="shared" si="0"/>
        <v>0</v>
      </c>
      <c r="H13" s="20">
        <f>H12*1.45</f>
        <v>0</v>
      </c>
      <c r="I13" s="23"/>
      <c r="Q13" t="s">
        <v>32</v>
      </c>
    </row>
    <row r="14" spans="1:19" x14ac:dyDescent="0.25">
      <c r="A14" s="24" t="s">
        <v>33</v>
      </c>
      <c r="B14" s="25"/>
      <c r="C14" s="26"/>
      <c r="D14" s="22"/>
      <c r="F14" s="19" t="s">
        <v>34</v>
      </c>
      <c r="G14" s="20">
        <f t="shared" si="0"/>
        <v>0</v>
      </c>
      <c r="H14" s="20">
        <f>H13/52*5</f>
        <v>0</v>
      </c>
      <c r="I14" s="17"/>
      <c r="R14" t="s">
        <v>35</v>
      </c>
      <c r="S14" t="s">
        <v>36</v>
      </c>
    </row>
    <row r="15" spans="1:19" x14ac:dyDescent="0.25">
      <c r="A15" s="21"/>
      <c r="D15" s="22"/>
      <c r="F15" s="14" t="s">
        <v>37</v>
      </c>
      <c r="G15" s="15">
        <f>G13+G14</f>
        <v>0</v>
      </c>
      <c r="H15" s="16">
        <f>H13+H14</f>
        <v>0</v>
      </c>
      <c r="I15" s="17"/>
      <c r="J15" s="4"/>
      <c r="K15" s="290" t="s">
        <v>38</v>
      </c>
      <c r="L15" s="290"/>
      <c r="M15" s="290"/>
      <c r="N15" s="290"/>
      <c r="Q15" t="s">
        <v>39</v>
      </c>
      <c r="R15" s="8">
        <f>L25*12</f>
        <v>720</v>
      </c>
      <c r="S15" s="7">
        <f>M25*12</f>
        <v>360</v>
      </c>
    </row>
    <row r="16" spans="1:19" x14ac:dyDescent="0.25">
      <c r="A16" s="24" t="s">
        <v>40</v>
      </c>
      <c r="C16" s="27">
        <f>IF(Frais_fct!C18=0,"Se reporter à onglet Frais Fonct",Frais_fct!C18)</f>
        <v>10</v>
      </c>
      <c r="D16" s="22"/>
      <c r="F16" s="19" t="s">
        <v>41</v>
      </c>
      <c r="G16" s="20">
        <f t="shared" ref="G16:G21" si="1">H16/12</f>
        <v>10</v>
      </c>
      <c r="H16" s="20">
        <f>IF(C16="Se reporter à onglet Frais Fonct",0,C16*12)</f>
        <v>120</v>
      </c>
      <c r="I16" s="28">
        <f>H16/H20</f>
        <v>0.8899999999999999</v>
      </c>
      <c r="K16" s="4"/>
      <c r="L16" s="29" t="s">
        <v>42</v>
      </c>
      <c r="M16" s="30" t="s">
        <v>43</v>
      </c>
      <c r="N16" s="29" t="s">
        <v>44</v>
      </c>
      <c r="Q16" t="s">
        <v>45</v>
      </c>
      <c r="R16" s="31">
        <f>IF((SUM($H$15:$H$16)*$C$10)&lt;$M$30,(SUM($H$15:$H$16)*$C$10)+R15,(((SUM($H$15:$H$16)*$C$10)/0.98)+R15))</f>
        <v>720</v>
      </c>
      <c r="S16" s="31">
        <f>IF((SUM($H$15:$H$16)*$C$10)&lt;$M$30,(SUM($H$15:$H$16)*$C$10)+S15,(((SUM($H$15:$H$16)*$C$10)/0.98)+S15))</f>
        <v>360</v>
      </c>
    </row>
    <row r="17" spans="1:19" x14ac:dyDescent="0.25">
      <c r="A17" s="24"/>
      <c r="C17" s="32"/>
      <c r="D17" s="22"/>
      <c r="F17" s="19" t="s">
        <v>46</v>
      </c>
      <c r="G17" s="20">
        <f t="shared" si="1"/>
        <v>1.2359550561797761</v>
      </c>
      <c r="H17" s="20">
        <f>H20-SUM(H15:H16)</f>
        <v>14.831460674157313</v>
      </c>
      <c r="I17" s="17"/>
      <c r="K17" s="33" t="s">
        <v>47</v>
      </c>
      <c r="L17" s="34">
        <v>35487</v>
      </c>
      <c r="M17" s="35">
        <v>0.12</v>
      </c>
      <c r="N17" s="34">
        <f>L17*M17</f>
        <v>4258.4399999999996</v>
      </c>
      <c r="O17" s="4">
        <f>+L17+N17</f>
        <v>39745.440000000002</v>
      </c>
      <c r="Q17" t="s">
        <v>48</v>
      </c>
      <c r="R17" s="7">
        <f>$N$29*$L$30</f>
        <v>119.98</v>
      </c>
      <c r="S17" s="7">
        <f>$N$29*$L$30</f>
        <v>119.98</v>
      </c>
    </row>
    <row r="18" spans="1:19" x14ac:dyDescent="0.25">
      <c r="A18" s="36" t="s">
        <v>49</v>
      </c>
      <c r="C18" s="37">
        <f>H22/12</f>
        <v>11.235955056179776</v>
      </c>
      <c r="D18" s="22"/>
      <c r="F18" s="19" t="s">
        <v>50</v>
      </c>
      <c r="G18" s="38">
        <f t="shared" si="1"/>
        <v>0</v>
      </c>
      <c r="H18" s="38">
        <f>IF(H19=0,0,H19-SUM(H15:H16)*C10)</f>
        <v>0</v>
      </c>
      <c r="I18" s="17"/>
      <c r="J18" s="4"/>
      <c r="K18" s="33" t="s">
        <v>51</v>
      </c>
      <c r="L18" s="34">
        <v>35488</v>
      </c>
      <c r="M18" s="35">
        <v>0.1</v>
      </c>
      <c r="N18" s="34">
        <f>(L19-L18)*M18</f>
        <v>2840.9</v>
      </c>
      <c r="O18" s="4">
        <f>+L18+N18+N17</f>
        <v>42587.340000000004</v>
      </c>
      <c r="P18" s="4"/>
      <c r="R18" s="31"/>
      <c r="S18" s="31"/>
    </row>
    <row r="19" spans="1:19" x14ac:dyDescent="0.25">
      <c r="A19" s="39"/>
      <c r="B19" s="40"/>
      <c r="C19" s="41"/>
      <c r="D19" s="42"/>
      <c r="F19" s="43" t="s">
        <v>52</v>
      </c>
      <c r="G19" s="44">
        <f t="shared" si="1"/>
        <v>0</v>
      </c>
      <c r="H19" s="45">
        <f>IF(C9=Q23,R16-R17,(IF(C9=Q24,S16-S17,0)))</f>
        <v>0</v>
      </c>
      <c r="I19" s="17"/>
      <c r="J19" s="4"/>
      <c r="K19" s="33" t="s">
        <v>51</v>
      </c>
      <c r="L19" s="34">
        <v>63897</v>
      </c>
      <c r="M19" s="35">
        <v>0.01</v>
      </c>
      <c r="N19" s="46"/>
      <c r="O19" s="4">
        <f>+L19+N17+N18</f>
        <v>70996.34</v>
      </c>
      <c r="R19" s="47"/>
    </row>
    <row r="20" spans="1:19" x14ac:dyDescent="0.25">
      <c r="F20" s="14" t="s">
        <v>53</v>
      </c>
      <c r="G20" s="15">
        <f t="shared" si="1"/>
        <v>11.235955056179776</v>
      </c>
      <c r="H20" s="15">
        <f>IF(SUM(H15:H16)&lt;O19,(SUM(H15:H16)/0.89)+H18,(SUM(H15:H16)/0.91)+H18)</f>
        <v>134.83146067415731</v>
      </c>
      <c r="I20" s="23"/>
      <c r="P20" s="47"/>
    </row>
    <row r="21" spans="1:19" x14ac:dyDescent="0.25">
      <c r="F21" s="19" t="s">
        <v>54</v>
      </c>
      <c r="G21" s="20">
        <f t="shared" si="1"/>
        <v>0</v>
      </c>
      <c r="H21" s="48"/>
      <c r="I21" s="17"/>
      <c r="L21" s="4"/>
    </row>
    <row r="22" spans="1:19" x14ac:dyDescent="0.25">
      <c r="F22" s="14" t="s">
        <v>55</v>
      </c>
      <c r="G22" s="49">
        <f>G20+G21</f>
        <v>11.235955056179776</v>
      </c>
      <c r="H22" s="50">
        <f>H20+H21</f>
        <v>134.83146067415731</v>
      </c>
      <c r="I22" s="51"/>
      <c r="L22" s="291" t="s">
        <v>56</v>
      </c>
      <c r="M22" s="291"/>
      <c r="N22" s="52"/>
      <c r="O22" s="52"/>
      <c r="P22" s="52"/>
      <c r="Q22" s="52" t="s">
        <v>57</v>
      </c>
      <c r="R22" s="52"/>
    </row>
    <row r="23" spans="1:19" x14ac:dyDescent="0.25">
      <c r="L23" s="29" t="s">
        <v>58</v>
      </c>
      <c r="M23" s="53" t="s">
        <v>36</v>
      </c>
      <c r="N23" s="52"/>
      <c r="O23" s="52"/>
      <c r="P23" s="52"/>
      <c r="Q23" s="52" t="s">
        <v>59</v>
      </c>
      <c r="R23" s="52"/>
    </row>
    <row r="24" spans="1:19" ht="18.75" x14ac:dyDescent="0.3">
      <c r="A24" s="288" t="s">
        <v>60</v>
      </c>
      <c r="B24" s="289"/>
      <c r="C24" s="289"/>
      <c r="D24" s="18"/>
      <c r="F24" s="292" t="s">
        <v>61</v>
      </c>
      <c r="G24" s="293"/>
      <c r="H24" s="293"/>
      <c r="I24" s="13"/>
      <c r="K24" s="54" t="s">
        <v>62</v>
      </c>
      <c r="L24" s="55">
        <v>200</v>
      </c>
      <c r="M24" s="56" t="s">
        <v>63</v>
      </c>
      <c r="N24" s="57"/>
      <c r="O24" s="57"/>
      <c r="P24" s="57"/>
      <c r="Q24" s="57" t="s">
        <v>64</v>
      </c>
      <c r="R24" s="57"/>
    </row>
    <row r="25" spans="1:19" x14ac:dyDescent="0.25">
      <c r="A25" s="58"/>
      <c r="B25" s="5"/>
      <c r="C25" s="5"/>
      <c r="D25" s="22"/>
      <c r="F25" s="59"/>
      <c r="G25" s="60"/>
      <c r="H25" s="61"/>
      <c r="I25" s="17"/>
      <c r="K25" s="54" t="s">
        <v>65</v>
      </c>
      <c r="L25" s="62">
        <v>60</v>
      </c>
      <c r="M25" s="55">
        <v>30</v>
      </c>
      <c r="N25" s="63"/>
      <c r="O25" s="63"/>
      <c r="P25" s="63"/>
      <c r="Q25" s="63"/>
      <c r="R25" s="63"/>
    </row>
    <row r="26" spans="1:19" x14ac:dyDescent="0.25">
      <c r="A26" s="21"/>
      <c r="C26" s="64"/>
      <c r="D26" s="22"/>
      <c r="F26" s="59"/>
      <c r="G26" s="60"/>
      <c r="H26" s="60"/>
      <c r="I26" s="17"/>
      <c r="K26" s="65" t="s">
        <v>66</v>
      </c>
      <c r="L26" s="66">
        <v>30</v>
      </c>
      <c r="M26" s="66">
        <v>15</v>
      </c>
      <c r="N26" s="67"/>
      <c r="O26" s="67"/>
      <c r="P26" s="67"/>
      <c r="Q26" s="67"/>
      <c r="R26" s="67"/>
    </row>
    <row r="27" spans="1:19" ht="30" x14ac:dyDescent="0.25">
      <c r="A27" s="68" t="s">
        <v>67</v>
      </c>
      <c r="B27" s="69"/>
      <c r="C27" s="70"/>
      <c r="D27" s="22"/>
      <c r="F27" s="59"/>
      <c r="G27" s="71" t="s">
        <v>68</v>
      </c>
      <c r="H27" s="71" t="s">
        <v>69</v>
      </c>
      <c r="I27" s="17"/>
      <c r="K27" s="72"/>
      <c r="L27" s="73"/>
      <c r="M27" s="73"/>
      <c r="N27" s="73"/>
      <c r="O27" s="73"/>
      <c r="P27" s="73"/>
      <c r="Q27" s="73"/>
      <c r="R27" s="73"/>
    </row>
    <row r="28" spans="1:19" ht="30" x14ac:dyDescent="0.25">
      <c r="A28" s="21"/>
      <c r="B28" s="74" t="s">
        <v>70</v>
      </c>
      <c r="C28" s="75">
        <v>151.66999999999999</v>
      </c>
      <c r="D28" s="22"/>
      <c r="F28" s="76" t="s">
        <v>71</v>
      </c>
      <c r="G28" s="77" t="str">
        <f>IF(C30="","",H15/C30)</f>
        <v/>
      </c>
      <c r="H28" s="77" t="str">
        <f>IF(C30="","",H15/C31)</f>
        <v/>
      </c>
      <c r="I28" s="17"/>
      <c r="K28" s="285" t="s">
        <v>72</v>
      </c>
      <c r="L28" s="285"/>
      <c r="M28" s="285"/>
      <c r="N28" s="285"/>
    </row>
    <row r="29" spans="1:19" x14ac:dyDescent="0.25">
      <c r="A29" s="78"/>
      <c r="B29" s="69"/>
      <c r="C29" s="75"/>
      <c r="D29" s="22"/>
      <c r="F29" s="76" t="s">
        <v>73</v>
      </c>
      <c r="G29" s="77" t="str">
        <f>IF(C30="","",H20/C30)</f>
        <v/>
      </c>
      <c r="H29" s="77" t="str">
        <f>IF(C30="","",H20/C31)</f>
        <v/>
      </c>
      <c r="I29" s="17"/>
      <c r="K29" s="286" t="s">
        <v>74</v>
      </c>
      <c r="L29" s="79">
        <v>0</v>
      </c>
      <c r="M29" s="80">
        <v>1</v>
      </c>
      <c r="N29" s="80">
        <v>5999</v>
      </c>
    </row>
    <row r="30" spans="1:19" x14ac:dyDescent="0.25">
      <c r="A30" s="81" t="s">
        <v>75</v>
      </c>
      <c r="B30" s="69"/>
      <c r="C30" s="82" t="str">
        <f>IF(C27="","",((C28*C27*12)-(C28/4.33*5)))</f>
        <v/>
      </c>
      <c r="D30" s="83"/>
      <c r="F30" s="59"/>
      <c r="G30" s="60"/>
      <c r="H30" s="60"/>
      <c r="I30" s="17"/>
      <c r="K30" s="287"/>
      <c r="L30" s="84">
        <v>0.02</v>
      </c>
      <c r="M30" s="85">
        <v>6000</v>
      </c>
      <c r="N30" s="85">
        <v>0</v>
      </c>
      <c r="R30" s="86"/>
    </row>
    <row r="31" spans="1:19" x14ac:dyDescent="0.25">
      <c r="A31" s="81" t="s">
        <v>76</v>
      </c>
      <c r="B31" s="69"/>
      <c r="C31" s="87" t="str">
        <f>IF(C27="","",((C28*C27*12)-(C28/4.33*5))/7)</f>
        <v/>
      </c>
      <c r="D31" s="22"/>
      <c r="F31" s="59"/>
      <c r="G31" s="60"/>
      <c r="H31" s="60"/>
      <c r="I31" s="17"/>
    </row>
    <row r="32" spans="1:19" x14ac:dyDescent="0.25">
      <c r="A32" s="88"/>
      <c r="B32" s="69"/>
      <c r="C32" s="75"/>
      <c r="D32" s="22"/>
      <c r="F32" s="59"/>
      <c r="G32" s="60"/>
      <c r="H32" s="60"/>
      <c r="I32" s="17"/>
    </row>
    <row r="33" spans="1:12" x14ac:dyDescent="0.25">
      <c r="A33" s="39"/>
      <c r="B33" s="40"/>
      <c r="C33" s="40"/>
      <c r="D33" s="42"/>
      <c r="F33" s="89"/>
      <c r="G33" s="90"/>
      <c r="H33" s="90"/>
      <c r="I33" s="91"/>
    </row>
    <row r="34" spans="1:12" x14ac:dyDescent="0.25">
      <c r="L34" s="64"/>
    </row>
    <row r="36" spans="1:12" ht="18.75" x14ac:dyDescent="0.3">
      <c r="A36" s="288" t="s">
        <v>77</v>
      </c>
      <c r="B36" s="289"/>
      <c r="C36" s="289"/>
      <c r="D36" s="18"/>
    </row>
    <row r="37" spans="1:12" x14ac:dyDescent="0.25">
      <c r="A37" s="21"/>
      <c r="D37" s="22"/>
    </row>
    <row r="38" spans="1:12" x14ac:dyDescent="0.25">
      <c r="A38" s="24" t="s">
        <v>78</v>
      </c>
      <c r="B38" s="25"/>
      <c r="C38" s="92"/>
      <c r="D38" s="22"/>
    </row>
    <row r="39" spans="1:12" x14ac:dyDescent="0.25">
      <c r="A39" s="39"/>
      <c r="B39" s="40"/>
      <c r="C39" s="40"/>
      <c r="D39" s="42"/>
    </row>
    <row r="41" spans="1:12" x14ac:dyDescent="0.25">
      <c r="C41" s="25"/>
    </row>
    <row r="42" spans="1:12" ht="18.75" x14ac:dyDescent="0.3">
      <c r="A42" s="93" t="s">
        <v>79</v>
      </c>
      <c r="B42" s="94"/>
      <c r="C42" s="94"/>
      <c r="D42" s="18"/>
      <c r="F42" s="95" t="s">
        <v>80</v>
      </c>
      <c r="G42" s="96"/>
      <c r="H42" s="96"/>
      <c r="I42" s="13"/>
    </row>
    <row r="43" spans="1:12" x14ac:dyDescent="0.25">
      <c r="A43" s="97" t="s">
        <v>81</v>
      </c>
      <c r="D43" s="22"/>
      <c r="F43" s="98" t="s">
        <v>82</v>
      </c>
      <c r="G43" s="60"/>
      <c r="H43" s="60"/>
      <c r="I43" s="17"/>
      <c r="K43" s="9" t="s">
        <v>83</v>
      </c>
    </row>
    <row r="44" spans="1:12" x14ac:dyDescent="0.25">
      <c r="A44" s="21"/>
      <c r="B44" s="99" t="s">
        <v>84</v>
      </c>
      <c r="C44" s="100" t="s">
        <v>85</v>
      </c>
      <c r="D44" s="101" t="s">
        <v>86</v>
      </c>
      <c r="F44" s="102" t="s">
        <v>87</v>
      </c>
      <c r="G44" s="103" t="s">
        <v>88</v>
      </c>
      <c r="H44" s="60"/>
      <c r="I44" s="17"/>
      <c r="K44" t="s">
        <v>88</v>
      </c>
    </row>
    <row r="45" spans="1:12" x14ac:dyDescent="0.25">
      <c r="A45" s="24" t="s">
        <v>89</v>
      </c>
      <c r="B45" s="104"/>
      <c r="C45" s="105" t="str">
        <f>IF(B45="","",G22/B45)</f>
        <v/>
      </c>
      <c r="D45" s="106" t="str">
        <f>IF(B45="","",H22/B45)</f>
        <v/>
      </c>
      <c r="F45" s="59"/>
      <c r="G45" s="60"/>
      <c r="H45" s="60"/>
      <c r="I45" s="17"/>
      <c r="K45" t="s">
        <v>90</v>
      </c>
    </row>
    <row r="46" spans="1:12" ht="15.75" customHeight="1" x14ac:dyDescent="0.25">
      <c r="A46" s="107" t="s">
        <v>91</v>
      </c>
      <c r="B46" s="108"/>
      <c r="C46" s="109" t="str">
        <f>IF(B46="","",G22/B46)</f>
        <v/>
      </c>
      <c r="D46" s="110" t="str">
        <f>IF(B46="","",H22/B46)</f>
        <v/>
      </c>
      <c r="F46" s="111" t="s">
        <v>92</v>
      </c>
      <c r="G46" s="112" t="s">
        <v>93</v>
      </c>
      <c r="H46" s="112" t="s">
        <v>94</v>
      </c>
      <c r="I46" s="17"/>
    </row>
    <row r="47" spans="1:12" ht="15" customHeight="1" x14ac:dyDescent="0.25">
      <c r="A47" s="113"/>
      <c r="B47" s="108"/>
      <c r="C47" s="109" t="str">
        <f>IF(B47="","",G22/B47)</f>
        <v/>
      </c>
      <c r="D47" s="110" t="str">
        <f>IF(B47="","",H22/B47)</f>
        <v/>
      </c>
      <c r="F47" s="114">
        <v>1</v>
      </c>
      <c r="G47" s="115" t="str">
        <f t="shared" ref="G47:G49" si="2">IF(D45="","",D45*F47)</f>
        <v/>
      </c>
      <c r="H47" s="116" t="e">
        <f t="shared" ref="H47:H49" si="3">IF($G$44="Jour",G47/$C$31,G47/$C$30)</f>
        <v>#VALUE!</v>
      </c>
      <c r="I47" s="17"/>
    </row>
    <row r="48" spans="1:12" x14ac:dyDescent="0.25">
      <c r="A48" s="117"/>
      <c r="B48" s="118" t="e">
        <f>AVERAGE(B45:B47)</f>
        <v>#DIV/0!</v>
      </c>
      <c r="C48" s="119" t="e">
        <f t="shared" ref="C48:D48" si="4">AVERAGE(C45:C47)</f>
        <v>#DIV/0!</v>
      </c>
      <c r="D48" s="119" t="e">
        <f t="shared" si="4"/>
        <v>#DIV/0!</v>
      </c>
      <c r="F48" s="120">
        <f>F47</f>
        <v>1</v>
      </c>
      <c r="G48" s="115" t="str">
        <f t="shared" si="2"/>
        <v/>
      </c>
      <c r="H48" s="116" t="e">
        <f t="shared" si="3"/>
        <v>#VALUE!</v>
      </c>
      <c r="I48" s="17"/>
    </row>
    <row r="49" spans="1:9" x14ac:dyDescent="0.25">
      <c r="A49" s="25"/>
      <c r="F49" s="120">
        <f>F47</f>
        <v>1</v>
      </c>
      <c r="G49" s="115" t="str">
        <f t="shared" si="2"/>
        <v/>
      </c>
      <c r="H49" s="116" t="e">
        <f t="shared" si="3"/>
        <v>#VALUE!</v>
      </c>
      <c r="I49" s="17"/>
    </row>
    <row r="50" spans="1:9" x14ac:dyDescent="0.25">
      <c r="A50" s="25"/>
      <c r="F50" s="121" t="s">
        <v>95</v>
      </c>
      <c r="G50" s="122"/>
      <c r="H50" s="122"/>
      <c r="I50" s="17"/>
    </row>
    <row r="51" spans="1:9" ht="16.149999999999999" customHeight="1" x14ac:dyDescent="0.25">
      <c r="F51" s="123"/>
      <c r="G51" s="124"/>
      <c r="H51" s="124"/>
      <c r="I51" s="91"/>
    </row>
    <row r="52" spans="1:9" x14ac:dyDescent="0.25">
      <c r="A52" s="125"/>
      <c r="B52" s="94"/>
      <c r="C52" s="94"/>
      <c r="D52" s="18"/>
    </row>
    <row r="53" spans="1:9" ht="17.25" x14ac:dyDescent="0.4">
      <c r="A53" s="126" t="s">
        <v>96</v>
      </c>
      <c r="B53" s="127"/>
      <c r="D53" s="128"/>
    </row>
    <row r="54" spans="1:9" ht="17.25" x14ac:dyDescent="0.4">
      <c r="A54" s="129" t="s">
        <v>97</v>
      </c>
      <c r="B54" s="127"/>
      <c r="D54" s="128"/>
    </row>
    <row r="55" spans="1:9" ht="17.25" x14ac:dyDescent="0.4">
      <c r="A55" s="130"/>
      <c r="B55" s="131"/>
      <c r="D55" s="128"/>
    </row>
    <row r="56" spans="1:9" x14ac:dyDescent="0.25">
      <c r="A56" s="132" t="s">
        <v>98</v>
      </c>
      <c r="B56" s="133"/>
      <c r="D56" s="128"/>
    </row>
    <row r="57" spans="1:9" x14ac:dyDescent="0.25">
      <c r="A57" s="134" t="s">
        <v>99</v>
      </c>
      <c r="B57" s="135" t="str">
        <f>IF(B56="","",C46/B56)</f>
        <v/>
      </c>
      <c r="C57" s="136" t="s">
        <v>100</v>
      </c>
      <c r="D57" s="22"/>
    </row>
    <row r="58" spans="1:9" x14ac:dyDescent="0.25">
      <c r="A58" s="117"/>
      <c r="B58" s="137"/>
      <c r="C58" s="137"/>
      <c r="D58" s="138"/>
    </row>
    <row r="59" spans="1:9" x14ac:dyDescent="0.25">
      <c r="A59" s="25"/>
      <c r="B59" s="25"/>
      <c r="C59" s="25"/>
      <c r="D59" s="25"/>
    </row>
    <row r="60" spans="1:9" x14ac:dyDescent="0.25">
      <c r="G60" s="139"/>
      <c r="H60" s="139"/>
    </row>
    <row r="61" spans="1:9" x14ac:dyDescent="0.25">
      <c r="G61" s="139"/>
      <c r="H61" s="139"/>
    </row>
    <row r="62" spans="1:9" x14ac:dyDescent="0.25">
      <c r="G62" s="139"/>
      <c r="H62" s="139"/>
    </row>
  </sheetData>
  <mergeCells count="8">
    <mergeCell ref="K28:N28"/>
    <mergeCell ref="K29:K30"/>
    <mergeCell ref="A36:C36"/>
    <mergeCell ref="A12:C12"/>
    <mergeCell ref="K15:N15"/>
    <mergeCell ref="L22:M22"/>
    <mergeCell ref="A24:C24"/>
    <mergeCell ref="F24:H24"/>
  </mergeCells>
  <conditionalFormatting sqref="C16">
    <cfRule type="containsText" dxfId="4" priority="1" operator="containsText" text="Se reporter à onglet Frais Fonct">
      <formula>NOT(ISERROR(SEARCH("Se reporter à onglet Frais Fonct",C16)))</formula>
    </cfRule>
  </conditionalFormatting>
  <conditionalFormatting sqref="H47:H49">
    <cfRule type="cellIs" dxfId="3" priority="2" operator="greaterThan">
      <formula>0.7</formula>
    </cfRule>
  </conditionalFormatting>
  <dataValidations count="2">
    <dataValidation type="list" allowBlank="1" showInputMessage="1" showErrorMessage="1" sqref="G44" xr:uid="{00520085-005F-4F44-9D03-008F006C0088}">
      <formula1>$K$44:$K$45</formula1>
    </dataValidation>
    <dataValidation type="list" allowBlank="1" showInputMessage="1" showErrorMessage="1" sqref="C9" xr:uid="{006C00E6-0087-4974-BC60-00C600B8004F}">
      <formula1>$Q$22:$Q$24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rstPageNumber="4294967295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D18"/>
  <sheetViews>
    <sheetView workbookViewId="0">
      <selection activeCell="C16" sqref="C16"/>
    </sheetView>
  </sheetViews>
  <sheetFormatPr baseColWidth="10" defaultRowHeight="15" x14ac:dyDescent="0.25"/>
  <cols>
    <col min="1" max="1" width="6.5703125" customWidth="1"/>
    <col min="2" max="2" width="35.28515625" bestFit="1" customWidth="1"/>
  </cols>
  <sheetData>
    <row r="2" spans="2:4" x14ac:dyDescent="0.25">
      <c r="B2" s="140" t="s">
        <v>101</v>
      </c>
    </row>
    <row r="4" spans="2:4" x14ac:dyDescent="0.25">
      <c r="C4" s="141" t="s">
        <v>26</v>
      </c>
      <c r="D4" s="141" t="s">
        <v>102</v>
      </c>
    </row>
    <row r="5" spans="2:4" x14ac:dyDescent="0.25">
      <c r="B5" t="s">
        <v>103</v>
      </c>
      <c r="C5" s="142"/>
      <c r="D5" s="143">
        <f t="shared" ref="D5:D17" si="0">C5*12</f>
        <v>0</v>
      </c>
    </row>
    <row r="6" spans="2:4" x14ac:dyDescent="0.25">
      <c r="B6" t="s">
        <v>197</v>
      </c>
      <c r="C6" s="142"/>
      <c r="D6" s="143">
        <f t="shared" si="0"/>
        <v>0</v>
      </c>
    </row>
    <row r="7" spans="2:4" x14ac:dyDescent="0.25">
      <c r="B7" t="s">
        <v>104</v>
      </c>
      <c r="C7" s="142"/>
      <c r="D7" s="143">
        <f t="shared" si="0"/>
        <v>0</v>
      </c>
    </row>
    <row r="8" spans="2:4" x14ac:dyDescent="0.25">
      <c r="B8" t="s">
        <v>105</v>
      </c>
      <c r="C8" s="142"/>
      <c r="D8" s="143">
        <f t="shared" si="0"/>
        <v>0</v>
      </c>
    </row>
    <row r="9" spans="2:4" x14ac:dyDescent="0.25">
      <c r="B9" t="s">
        <v>106</v>
      </c>
      <c r="C9" s="142">
        <v>10</v>
      </c>
      <c r="D9" s="143">
        <f t="shared" si="0"/>
        <v>120</v>
      </c>
    </row>
    <row r="10" spans="2:4" x14ac:dyDescent="0.25">
      <c r="B10" t="s">
        <v>107</v>
      </c>
      <c r="C10" s="144"/>
      <c r="D10" s="143">
        <f t="shared" si="0"/>
        <v>0</v>
      </c>
    </row>
    <row r="11" spans="2:4" x14ac:dyDescent="0.25">
      <c r="B11" t="s">
        <v>108</v>
      </c>
      <c r="C11" s="144"/>
      <c r="D11" s="143">
        <f t="shared" si="0"/>
        <v>0</v>
      </c>
    </row>
    <row r="12" spans="2:4" x14ac:dyDescent="0.25">
      <c r="B12" t="s">
        <v>109</v>
      </c>
      <c r="C12" s="144"/>
      <c r="D12" s="143">
        <f t="shared" si="0"/>
        <v>0</v>
      </c>
    </row>
    <row r="13" spans="2:4" x14ac:dyDescent="0.25">
      <c r="B13" t="s">
        <v>110</v>
      </c>
      <c r="C13" s="144"/>
      <c r="D13" s="143">
        <f t="shared" si="0"/>
        <v>0</v>
      </c>
    </row>
    <row r="14" spans="2:4" x14ac:dyDescent="0.25">
      <c r="B14" t="s">
        <v>111</v>
      </c>
      <c r="C14" s="144"/>
      <c r="D14" s="143">
        <f t="shared" si="0"/>
        <v>0</v>
      </c>
    </row>
    <row r="15" spans="2:4" x14ac:dyDescent="0.25">
      <c r="B15" t="s">
        <v>112</v>
      </c>
      <c r="C15" s="144"/>
      <c r="D15" s="143">
        <f t="shared" si="0"/>
        <v>0</v>
      </c>
    </row>
    <row r="16" spans="2:4" x14ac:dyDescent="0.25">
      <c r="B16" t="s">
        <v>198</v>
      </c>
      <c r="C16" s="144"/>
      <c r="D16" s="143">
        <f t="shared" si="0"/>
        <v>0</v>
      </c>
    </row>
    <row r="17" spans="2:4" x14ac:dyDescent="0.25">
      <c r="B17" t="s">
        <v>113</v>
      </c>
      <c r="C17" s="145"/>
      <c r="D17" s="146">
        <f t="shared" si="0"/>
        <v>0</v>
      </c>
    </row>
    <row r="18" spans="2:4" x14ac:dyDescent="0.25">
      <c r="B18" s="52" t="s">
        <v>114</v>
      </c>
      <c r="C18" s="147">
        <f>SUM(C5:C17)</f>
        <v>10</v>
      </c>
      <c r="D18" s="147">
        <f>SUM(D5:D17)</f>
        <v>120</v>
      </c>
    </row>
  </sheetData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1:Q81"/>
  <sheetViews>
    <sheetView topLeftCell="A62" workbookViewId="0">
      <selection activeCell="B70" sqref="B70"/>
    </sheetView>
  </sheetViews>
  <sheetFormatPr baseColWidth="10" defaultRowHeight="15" outlineLevelRow="1" x14ac:dyDescent="0.25"/>
  <cols>
    <col min="1" max="1" width="6.7109375" customWidth="1"/>
    <col min="2" max="2" width="55.7109375" customWidth="1"/>
    <col min="3" max="3" width="22.5703125" customWidth="1"/>
    <col min="4" max="4" width="16.5703125" customWidth="1"/>
    <col min="5" max="5" width="21.28515625" customWidth="1"/>
    <col min="6" max="6" width="28.7109375" customWidth="1"/>
    <col min="7" max="7" width="23.28515625" customWidth="1"/>
    <col min="8" max="8" width="17.5703125" customWidth="1"/>
    <col min="9" max="9" width="14.7109375" customWidth="1"/>
    <col min="10" max="10" width="13.42578125" bestFit="1" customWidth="1"/>
  </cols>
  <sheetData>
    <row r="11" spans="1:17" ht="30" customHeight="1" x14ac:dyDescent="0.25">
      <c r="B11" s="148" t="s">
        <v>115</v>
      </c>
      <c r="C11" s="149" t="s">
        <v>116</v>
      </c>
      <c r="D11" s="150"/>
      <c r="E11" s="150"/>
      <c r="F11" s="150"/>
      <c r="G11" s="150"/>
      <c r="H11" s="150"/>
      <c r="I11" s="150"/>
      <c r="J11" s="150"/>
      <c r="L11" s="297" t="s">
        <v>117</v>
      </c>
      <c r="M11" s="298"/>
      <c r="N11" s="298"/>
      <c r="O11" s="298"/>
      <c r="P11" s="298"/>
      <c r="Q11" s="299"/>
    </row>
    <row r="12" spans="1:17" ht="20.100000000000001" customHeight="1" x14ac:dyDescent="0.25">
      <c r="B12" s="151" t="s">
        <v>118</v>
      </c>
      <c r="C12" s="151" t="s">
        <v>119</v>
      </c>
      <c r="D12" s="151" t="s">
        <v>120</v>
      </c>
      <c r="E12" s="151" t="s">
        <v>121</v>
      </c>
      <c r="F12" s="151" t="s">
        <v>122</v>
      </c>
      <c r="G12" s="151" t="s">
        <v>123</v>
      </c>
      <c r="H12" s="151" t="s">
        <v>124</v>
      </c>
      <c r="I12" s="295" t="s">
        <v>125</v>
      </c>
      <c r="J12" s="296"/>
      <c r="L12" s="154"/>
      <c r="M12" s="155"/>
      <c r="N12" s="155"/>
      <c r="O12" s="155"/>
      <c r="P12" s="155"/>
      <c r="Q12" s="156"/>
    </row>
    <row r="13" spans="1:17" ht="20.100000000000001" customHeight="1" x14ac:dyDescent="0.25">
      <c r="B13" s="157" t="s">
        <v>126</v>
      </c>
      <c r="C13" s="157" t="s">
        <v>127</v>
      </c>
      <c r="D13" s="157" t="s">
        <v>127</v>
      </c>
      <c r="E13" s="157" t="s">
        <v>128</v>
      </c>
      <c r="F13" s="157" t="s">
        <v>129</v>
      </c>
      <c r="G13" s="157" t="s">
        <v>130</v>
      </c>
      <c r="H13" s="157" t="s">
        <v>131</v>
      </c>
      <c r="I13" s="300" t="s">
        <v>132</v>
      </c>
      <c r="J13" s="301"/>
      <c r="L13" s="160"/>
      <c r="Q13" s="161"/>
    </row>
    <row r="14" spans="1:17" ht="20.100000000000001" customHeight="1" x14ac:dyDescent="0.25">
      <c r="A14" t="s">
        <v>133</v>
      </c>
      <c r="B14" s="157" t="s">
        <v>134</v>
      </c>
      <c r="C14" s="162" t="s">
        <v>135</v>
      </c>
      <c r="D14" s="162" t="s">
        <v>135</v>
      </c>
      <c r="E14" s="162" t="s">
        <v>136</v>
      </c>
      <c r="F14" s="162" t="s">
        <v>137</v>
      </c>
      <c r="G14" s="162" t="s">
        <v>138</v>
      </c>
      <c r="H14" s="162" t="s">
        <v>139</v>
      </c>
      <c r="I14" s="163" t="s">
        <v>140</v>
      </c>
      <c r="J14" s="164" t="s">
        <v>43</v>
      </c>
      <c r="L14" s="160"/>
      <c r="Q14" s="161"/>
    </row>
    <row r="15" spans="1:17" ht="20.100000000000001" customHeight="1" x14ac:dyDescent="0.25">
      <c r="A15" s="165"/>
      <c r="B15" s="166"/>
      <c r="C15" s="167"/>
      <c r="D15" s="168"/>
      <c r="E15" s="169"/>
      <c r="F15" s="168"/>
      <c r="G15" s="170"/>
      <c r="H15" s="171">
        <f t="shared" ref="H15:H24" si="0">E15+F15+G15</f>
        <v>0</v>
      </c>
      <c r="I15" s="172">
        <f t="shared" ref="I15:I24" si="1">D15-H15</f>
        <v>0</v>
      </c>
      <c r="J15" s="173" t="str">
        <f t="shared" ref="J15:J24" si="2">IF(D15=0,"",I15/D15)</f>
        <v/>
      </c>
      <c r="L15" s="160"/>
      <c r="Q15" s="161"/>
    </row>
    <row r="16" spans="1:17" ht="20.100000000000001" customHeight="1" x14ac:dyDescent="0.25">
      <c r="A16" s="174"/>
      <c r="B16" s="175"/>
      <c r="C16" s="176"/>
      <c r="D16" s="177"/>
      <c r="E16" s="169"/>
      <c r="F16" s="168"/>
      <c r="G16" s="170"/>
      <c r="H16" s="178">
        <f t="shared" si="0"/>
        <v>0</v>
      </c>
      <c r="I16" s="179">
        <f t="shared" si="1"/>
        <v>0</v>
      </c>
      <c r="J16" s="180" t="str">
        <f t="shared" si="2"/>
        <v/>
      </c>
      <c r="L16" s="160"/>
      <c r="Q16" s="161"/>
    </row>
    <row r="17" spans="1:17" ht="20.100000000000001" customHeight="1" x14ac:dyDescent="0.25">
      <c r="A17" s="174"/>
      <c r="B17" s="175"/>
      <c r="C17" s="176"/>
      <c r="D17" s="177"/>
      <c r="E17" s="169"/>
      <c r="F17" s="168"/>
      <c r="G17" s="170"/>
      <c r="H17" s="178">
        <f t="shared" si="0"/>
        <v>0</v>
      </c>
      <c r="I17" s="179">
        <f t="shared" si="1"/>
        <v>0</v>
      </c>
      <c r="J17" s="180" t="str">
        <f t="shared" si="2"/>
        <v/>
      </c>
      <c r="L17" s="160"/>
      <c r="Q17" s="161"/>
    </row>
    <row r="18" spans="1:17" ht="20.100000000000001" customHeight="1" x14ac:dyDescent="0.25">
      <c r="A18" s="174"/>
      <c r="B18" s="175"/>
      <c r="C18" s="176"/>
      <c r="D18" s="177"/>
      <c r="E18" s="169"/>
      <c r="F18" s="168"/>
      <c r="G18" s="170"/>
      <c r="H18" s="178">
        <f t="shared" si="0"/>
        <v>0</v>
      </c>
      <c r="I18" s="179">
        <f t="shared" si="1"/>
        <v>0</v>
      </c>
      <c r="J18" s="180" t="str">
        <f t="shared" si="2"/>
        <v/>
      </c>
      <c r="L18" s="160"/>
      <c r="Q18" s="161"/>
    </row>
    <row r="19" spans="1:17" ht="20.100000000000001" customHeight="1" outlineLevel="1" x14ac:dyDescent="0.25">
      <c r="A19" s="174"/>
      <c r="B19" s="181"/>
      <c r="C19" s="176"/>
      <c r="D19" s="177"/>
      <c r="E19" s="169"/>
      <c r="F19" s="168"/>
      <c r="G19" s="170"/>
      <c r="H19" s="178">
        <f t="shared" si="0"/>
        <v>0</v>
      </c>
      <c r="I19" s="179">
        <f t="shared" si="1"/>
        <v>0</v>
      </c>
      <c r="J19" s="180" t="str">
        <f t="shared" si="2"/>
        <v/>
      </c>
      <c r="L19" s="160"/>
      <c r="Q19" s="161"/>
    </row>
    <row r="20" spans="1:17" ht="20.100000000000001" customHeight="1" outlineLevel="1" x14ac:dyDescent="0.25">
      <c r="A20" s="174"/>
      <c r="B20" s="181"/>
      <c r="C20" s="176"/>
      <c r="D20" s="177"/>
      <c r="E20" s="169"/>
      <c r="F20" s="168"/>
      <c r="G20" s="170"/>
      <c r="H20" s="178">
        <f t="shared" si="0"/>
        <v>0</v>
      </c>
      <c r="I20" s="179">
        <f t="shared" si="1"/>
        <v>0</v>
      </c>
      <c r="J20" s="180" t="str">
        <f t="shared" si="2"/>
        <v/>
      </c>
      <c r="L20" s="160"/>
      <c r="Q20" s="161"/>
    </row>
    <row r="21" spans="1:17" ht="20.100000000000001" customHeight="1" outlineLevel="1" x14ac:dyDescent="0.25">
      <c r="A21" s="174"/>
      <c r="B21" s="181"/>
      <c r="C21" s="176"/>
      <c r="D21" s="177"/>
      <c r="E21" s="169"/>
      <c r="F21" s="168"/>
      <c r="G21" s="170"/>
      <c r="H21" s="178">
        <f t="shared" si="0"/>
        <v>0</v>
      </c>
      <c r="I21" s="179">
        <f t="shared" si="1"/>
        <v>0</v>
      </c>
      <c r="J21" s="180" t="str">
        <f t="shared" si="2"/>
        <v/>
      </c>
      <c r="L21" s="160"/>
      <c r="Q21" s="161"/>
    </row>
    <row r="22" spans="1:17" ht="20.100000000000001" customHeight="1" outlineLevel="1" x14ac:dyDescent="0.25">
      <c r="A22" s="174"/>
      <c r="B22" s="181"/>
      <c r="C22" s="176"/>
      <c r="D22" s="177"/>
      <c r="E22" s="169"/>
      <c r="F22" s="168"/>
      <c r="G22" s="170"/>
      <c r="H22" s="178">
        <f t="shared" si="0"/>
        <v>0</v>
      </c>
      <c r="I22" s="179">
        <f t="shared" si="1"/>
        <v>0</v>
      </c>
      <c r="J22" s="180" t="str">
        <f t="shared" si="2"/>
        <v/>
      </c>
      <c r="L22" s="160"/>
      <c r="Q22" s="161"/>
    </row>
    <row r="23" spans="1:17" ht="20.100000000000001" customHeight="1" outlineLevel="1" x14ac:dyDescent="0.25">
      <c r="A23" s="174"/>
      <c r="B23" s="181"/>
      <c r="C23" s="176"/>
      <c r="D23" s="177"/>
      <c r="E23" s="169"/>
      <c r="F23" s="168"/>
      <c r="G23" s="170"/>
      <c r="H23" s="178">
        <f t="shared" si="0"/>
        <v>0</v>
      </c>
      <c r="I23" s="179">
        <f t="shared" si="1"/>
        <v>0</v>
      </c>
      <c r="J23" s="180" t="str">
        <f t="shared" si="2"/>
        <v/>
      </c>
      <c r="L23" s="160"/>
      <c r="Q23" s="161"/>
    </row>
    <row r="24" spans="1:17" ht="20.100000000000001" customHeight="1" outlineLevel="1" x14ac:dyDescent="0.25">
      <c r="A24" s="182" t="s">
        <v>133</v>
      </c>
      <c r="B24" s="183"/>
      <c r="C24" s="184"/>
      <c r="D24" s="185"/>
      <c r="E24" s="186"/>
      <c r="F24" s="168"/>
      <c r="G24" s="170"/>
      <c r="H24" s="187">
        <f t="shared" si="0"/>
        <v>0</v>
      </c>
      <c r="I24" s="188">
        <f t="shared" si="1"/>
        <v>0</v>
      </c>
      <c r="J24" s="189" t="str">
        <f t="shared" si="2"/>
        <v/>
      </c>
      <c r="L24" s="160"/>
      <c r="Q24" s="161"/>
    </row>
    <row r="25" spans="1:17" ht="30" customHeight="1" x14ac:dyDescent="0.25">
      <c r="B25" s="150"/>
      <c r="C25" s="190"/>
      <c r="D25" s="190"/>
      <c r="E25" s="190"/>
      <c r="F25" s="190"/>
      <c r="G25" s="190"/>
      <c r="H25" s="190"/>
      <c r="I25" s="190"/>
      <c r="J25" s="190"/>
      <c r="L25" s="160"/>
      <c r="Q25" s="161"/>
    </row>
    <row r="26" spans="1:17" ht="30" customHeight="1" x14ac:dyDescent="0.25">
      <c r="B26" s="148" t="s">
        <v>141</v>
      </c>
      <c r="C26" s="191"/>
      <c r="D26" s="191"/>
      <c r="E26" s="191"/>
      <c r="F26" s="191"/>
      <c r="G26" s="150"/>
      <c r="H26" s="150"/>
      <c r="I26" s="150"/>
      <c r="J26" s="150"/>
      <c r="L26" s="160"/>
      <c r="Q26" s="161"/>
    </row>
    <row r="27" spans="1:17" ht="20.100000000000001" customHeight="1" x14ac:dyDescent="0.25">
      <c r="B27" s="151" t="s">
        <v>118</v>
      </c>
      <c r="C27" s="151" t="s">
        <v>142</v>
      </c>
      <c r="D27" s="151" t="s">
        <v>143</v>
      </c>
      <c r="E27" s="151" t="s">
        <v>144</v>
      </c>
      <c r="F27" s="151" t="s">
        <v>124</v>
      </c>
      <c r="G27" s="295" t="s">
        <v>125</v>
      </c>
      <c r="H27" s="296"/>
      <c r="I27" s="150"/>
      <c r="J27" s="150"/>
      <c r="L27" s="160"/>
      <c r="Q27" s="161"/>
    </row>
    <row r="28" spans="1:17" ht="20.100000000000001" customHeight="1" x14ac:dyDescent="0.25">
      <c r="B28" s="157" t="s">
        <v>145</v>
      </c>
      <c r="C28" s="157" t="s">
        <v>146</v>
      </c>
      <c r="D28" s="157"/>
      <c r="E28" s="157" t="s">
        <v>147</v>
      </c>
      <c r="F28" s="157"/>
      <c r="G28" s="300" t="s">
        <v>148</v>
      </c>
      <c r="H28" s="301"/>
      <c r="I28" s="150"/>
      <c r="J28" s="150"/>
      <c r="L28" s="160"/>
      <c r="Q28" s="161"/>
    </row>
    <row r="29" spans="1:17" ht="20.100000000000001" customHeight="1" x14ac:dyDescent="0.25">
      <c r="B29" s="162" t="s">
        <v>134</v>
      </c>
      <c r="C29" s="192" t="s">
        <v>149</v>
      </c>
      <c r="D29" s="162" t="s">
        <v>150</v>
      </c>
      <c r="E29" s="162" t="s">
        <v>151</v>
      </c>
      <c r="F29" s="162" t="s">
        <v>152</v>
      </c>
      <c r="G29" s="163" t="s">
        <v>140</v>
      </c>
      <c r="H29" s="193" t="s">
        <v>43</v>
      </c>
      <c r="I29" s="150"/>
      <c r="J29" s="150"/>
      <c r="L29" s="160"/>
      <c r="Q29" s="161"/>
    </row>
    <row r="30" spans="1:17" ht="20.100000000000001" customHeight="1" x14ac:dyDescent="0.25">
      <c r="B30" s="194">
        <f t="shared" ref="B30:B39" si="3">B15</f>
        <v>0</v>
      </c>
      <c r="C30" s="195"/>
      <c r="D30" s="196" t="str">
        <f>CA_mini_tps!$G$28</f>
        <v/>
      </c>
      <c r="E30" s="197" t="e">
        <f t="shared" ref="E30:E39" si="4">C30*D30</f>
        <v>#VALUE!</v>
      </c>
      <c r="F30" s="171" t="e">
        <f t="shared" ref="F30:F39" si="5">H15+E30</f>
        <v>#VALUE!</v>
      </c>
      <c r="G30" s="172" t="e">
        <f t="shared" ref="G30:G39" si="6">D15-F30</f>
        <v>#VALUE!</v>
      </c>
      <c r="H30" s="173" t="str">
        <f t="shared" ref="H30:H39" si="7">IF(D15=0,"",G30/D15)</f>
        <v/>
      </c>
      <c r="I30" s="150"/>
      <c r="J30" s="150"/>
      <c r="L30" s="160"/>
      <c r="Q30" s="161"/>
    </row>
    <row r="31" spans="1:17" ht="20.100000000000001" customHeight="1" x14ac:dyDescent="0.25">
      <c r="B31" s="198">
        <f t="shared" si="3"/>
        <v>0</v>
      </c>
      <c r="C31" s="199"/>
      <c r="D31" s="196" t="str">
        <f>CA_mini_tps!$G$28</f>
        <v/>
      </c>
      <c r="E31" s="200" t="e">
        <f t="shared" si="4"/>
        <v>#VALUE!</v>
      </c>
      <c r="F31" s="178" t="e">
        <f t="shared" si="5"/>
        <v>#VALUE!</v>
      </c>
      <c r="G31" s="179" t="e">
        <f t="shared" si="6"/>
        <v>#VALUE!</v>
      </c>
      <c r="H31" s="180" t="str">
        <f t="shared" si="7"/>
        <v/>
      </c>
      <c r="I31" s="150"/>
      <c r="J31" s="150"/>
      <c r="L31" s="160"/>
      <c r="Q31" s="161"/>
    </row>
    <row r="32" spans="1:17" ht="20.100000000000001" customHeight="1" x14ac:dyDescent="0.25">
      <c r="B32" s="198">
        <f t="shared" si="3"/>
        <v>0</v>
      </c>
      <c r="C32" s="199"/>
      <c r="D32" s="196" t="str">
        <f>CA_mini_tps!$G$28</f>
        <v/>
      </c>
      <c r="E32" s="200" t="e">
        <f t="shared" si="4"/>
        <v>#VALUE!</v>
      </c>
      <c r="F32" s="178" t="e">
        <f t="shared" si="5"/>
        <v>#VALUE!</v>
      </c>
      <c r="G32" s="179" t="e">
        <f t="shared" si="6"/>
        <v>#VALUE!</v>
      </c>
      <c r="H32" s="180" t="str">
        <f t="shared" si="7"/>
        <v/>
      </c>
      <c r="I32" s="150"/>
      <c r="J32" s="150"/>
      <c r="L32" s="160"/>
      <c r="Q32" s="161"/>
    </row>
    <row r="33" spans="2:17" ht="20.100000000000001" customHeight="1" outlineLevel="1" x14ac:dyDescent="0.25">
      <c r="B33" s="198">
        <f t="shared" si="3"/>
        <v>0</v>
      </c>
      <c r="C33" s="199"/>
      <c r="D33" s="196" t="str">
        <f>CA_mini_tps!$G$28</f>
        <v/>
      </c>
      <c r="E33" s="200" t="e">
        <f t="shared" si="4"/>
        <v>#VALUE!</v>
      </c>
      <c r="F33" s="178" t="e">
        <f t="shared" si="5"/>
        <v>#VALUE!</v>
      </c>
      <c r="G33" s="179" t="e">
        <f t="shared" si="6"/>
        <v>#VALUE!</v>
      </c>
      <c r="H33" s="180" t="str">
        <f t="shared" si="7"/>
        <v/>
      </c>
      <c r="I33" s="150"/>
      <c r="J33" s="150"/>
      <c r="L33" s="160"/>
      <c r="Q33" s="161"/>
    </row>
    <row r="34" spans="2:17" ht="20.100000000000001" customHeight="1" outlineLevel="1" x14ac:dyDescent="0.25">
      <c r="B34" s="198">
        <f t="shared" si="3"/>
        <v>0</v>
      </c>
      <c r="C34" s="199"/>
      <c r="D34" s="196" t="str">
        <f>CA_mini_tps!$G$28</f>
        <v/>
      </c>
      <c r="E34" s="200" t="e">
        <f t="shared" si="4"/>
        <v>#VALUE!</v>
      </c>
      <c r="F34" s="178" t="e">
        <f t="shared" si="5"/>
        <v>#VALUE!</v>
      </c>
      <c r="G34" s="179" t="e">
        <f t="shared" si="6"/>
        <v>#VALUE!</v>
      </c>
      <c r="H34" s="180" t="str">
        <f t="shared" si="7"/>
        <v/>
      </c>
      <c r="I34" s="150"/>
      <c r="J34" s="150"/>
      <c r="L34" s="160"/>
      <c r="Q34" s="161"/>
    </row>
    <row r="35" spans="2:17" ht="20.100000000000001" customHeight="1" outlineLevel="1" x14ac:dyDescent="0.25">
      <c r="B35" s="198">
        <f t="shared" si="3"/>
        <v>0</v>
      </c>
      <c r="C35" s="199"/>
      <c r="D35" s="196" t="str">
        <f>CA_mini_tps!$G$28</f>
        <v/>
      </c>
      <c r="E35" s="200" t="e">
        <f t="shared" si="4"/>
        <v>#VALUE!</v>
      </c>
      <c r="F35" s="178" t="e">
        <f t="shared" si="5"/>
        <v>#VALUE!</v>
      </c>
      <c r="G35" s="179" t="e">
        <f t="shared" si="6"/>
        <v>#VALUE!</v>
      </c>
      <c r="H35" s="180" t="str">
        <f t="shared" si="7"/>
        <v/>
      </c>
      <c r="I35" s="150"/>
      <c r="J35" s="150"/>
      <c r="L35" s="160"/>
      <c r="Q35" s="161"/>
    </row>
    <row r="36" spans="2:17" ht="20.100000000000001" customHeight="1" outlineLevel="1" x14ac:dyDescent="0.25">
      <c r="B36" s="198">
        <f t="shared" si="3"/>
        <v>0</v>
      </c>
      <c r="C36" s="199"/>
      <c r="D36" s="196" t="str">
        <f>CA_mini_tps!$G$28</f>
        <v/>
      </c>
      <c r="E36" s="200" t="e">
        <f t="shared" si="4"/>
        <v>#VALUE!</v>
      </c>
      <c r="F36" s="178" t="e">
        <f t="shared" si="5"/>
        <v>#VALUE!</v>
      </c>
      <c r="G36" s="179" t="e">
        <f t="shared" si="6"/>
        <v>#VALUE!</v>
      </c>
      <c r="H36" s="180" t="str">
        <f t="shared" si="7"/>
        <v/>
      </c>
      <c r="I36" s="150"/>
      <c r="J36" s="150"/>
      <c r="L36" s="160"/>
      <c r="Q36" s="161"/>
    </row>
    <row r="37" spans="2:17" ht="20.100000000000001" customHeight="1" outlineLevel="1" x14ac:dyDescent="0.25">
      <c r="B37" s="198">
        <f t="shared" si="3"/>
        <v>0</v>
      </c>
      <c r="C37" s="199"/>
      <c r="D37" s="196" t="str">
        <f>CA_mini_tps!$G$28</f>
        <v/>
      </c>
      <c r="E37" s="200" t="e">
        <f t="shared" si="4"/>
        <v>#VALUE!</v>
      </c>
      <c r="F37" s="178" t="e">
        <f t="shared" si="5"/>
        <v>#VALUE!</v>
      </c>
      <c r="G37" s="179" t="e">
        <f t="shared" si="6"/>
        <v>#VALUE!</v>
      </c>
      <c r="H37" s="180" t="str">
        <f t="shared" si="7"/>
        <v/>
      </c>
      <c r="I37" s="150"/>
      <c r="J37" s="150"/>
      <c r="L37" s="160"/>
      <c r="Q37" s="161"/>
    </row>
    <row r="38" spans="2:17" ht="20.100000000000001" customHeight="1" outlineLevel="1" x14ac:dyDescent="0.25">
      <c r="B38" s="198">
        <f t="shared" si="3"/>
        <v>0</v>
      </c>
      <c r="C38" s="199"/>
      <c r="D38" s="196" t="str">
        <f>CA_mini_tps!$G$28</f>
        <v/>
      </c>
      <c r="E38" s="200" t="e">
        <f t="shared" si="4"/>
        <v>#VALUE!</v>
      </c>
      <c r="F38" s="178" t="e">
        <f t="shared" si="5"/>
        <v>#VALUE!</v>
      </c>
      <c r="G38" s="179" t="e">
        <f t="shared" si="6"/>
        <v>#VALUE!</v>
      </c>
      <c r="H38" s="180" t="str">
        <f t="shared" si="7"/>
        <v/>
      </c>
      <c r="I38" s="150"/>
      <c r="J38" s="150"/>
      <c r="L38" s="160"/>
      <c r="Q38" s="161"/>
    </row>
    <row r="39" spans="2:17" ht="20.100000000000001" customHeight="1" x14ac:dyDescent="0.25">
      <c r="B39" s="201">
        <f t="shared" si="3"/>
        <v>0</v>
      </c>
      <c r="C39" s="202"/>
      <c r="D39" s="203" t="str">
        <f>CA_mini_tps!$G$28</f>
        <v/>
      </c>
      <c r="E39" s="204" t="e">
        <f t="shared" si="4"/>
        <v>#VALUE!</v>
      </c>
      <c r="F39" s="187" t="e">
        <f t="shared" si="5"/>
        <v>#VALUE!</v>
      </c>
      <c r="G39" s="188" t="e">
        <f t="shared" si="6"/>
        <v>#VALUE!</v>
      </c>
      <c r="H39" s="189" t="str">
        <f t="shared" si="7"/>
        <v/>
      </c>
      <c r="I39" s="150"/>
      <c r="J39" s="150"/>
      <c r="L39" s="160"/>
      <c r="Q39" s="161"/>
    </row>
    <row r="40" spans="2:17" ht="23.25" x14ac:dyDescent="0.35">
      <c r="B40" s="205"/>
      <c r="L40" s="160"/>
      <c r="Q40" s="161"/>
    </row>
    <row r="41" spans="2:17" x14ac:dyDescent="0.25">
      <c r="L41" s="160"/>
      <c r="Q41" s="161"/>
    </row>
    <row r="42" spans="2:17" ht="30" customHeight="1" x14ac:dyDescent="0.25">
      <c r="B42" s="148" t="s">
        <v>153</v>
      </c>
      <c r="C42" s="149" t="s">
        <v>116</v>
      </c>
      <c r="D42" s="150"/>
      <c r="F42" s="206"/>
      <c r="G42" s="207"/>
      <c r="H42" s="150"/>
      <c r="I42" s="150"/>
      <c r="J42" s="150"/>
      <c r="L42" s="160"/>
      <c r="Q42" s="161"/>
    </row>
    <row r="43" spans="2:17" ht="30" customHeight="1" x14ac:dyDescent="0.25">
      <c r="B43" s="208" t="s">
        <v>154</v>
      </c>
      <c r="C43" s="150"/>
      <c r="D43" s="150"/>
      <c r="E43" s="150"/>
      <c r="H43" s="150"/>
      <c r="I43" s="150"/>
      <c r="J43" s="150"/>
      <c r="L43" s="160"/>
      <c r="Q43" s="161"/>
    </row>
    <row r="44" spans="2:17" ht="30" customHeight="1" x14ac:dyDescent="0.25">
      <c r="B44" s="208"/>
      <c r="C44" s="150"/>
      <c r="D44" s="150"/>
      <c r="E44" s="150"/>
      <c r="F44" s="206"/>
      <c r="G44" s="150"/>
      <c r="H44" s="150"/>
      <c r="I44" s="150"/>
      <c r="J44" s="150"/>
      <c r="L44" s="160"/>
      <c r="Q44" s="161"/>
    </row>
    <row r="45" spans="2:17" ht="30" customHeight="1" x14ac:dyDescent="0.25">
      <c r="B45" s="209" t="s">
        <v>155</v>
      </c>
      <c r="C45" s="295" t="s">
        <v>156</v>
      </c>
      <c r="D45" s="296"/>
      <c r="E45" s="295" t="s">
        <v>157</v>
      </c>
      <c r="F45" s="296"/>
      <c r="G45" s="295" t="s">
        <v>158</v>
      </c>
      <c r="H45" s="296"/>
      <c r="L45" s="160"/>
      <c r="Q45" s="161"/>
    </row>
    <row r="46" spans="2:17" ht="30" customHeight="1" x14ac:dyDescent="0.25">
      <c r="B46" s="210" t="s">
        <v>159</v>
      </c>
      <c r="C46" s="163" t="s">
        <v>160</v>
      </c>
      <c r="D46" s="164" t="s">
        <v>43</v>
      </c>
      <c r="E46" s="163" t="s">
        <v>160</v>
      </c>
      <c r="F46" s="164" t="s">
        <v>43</v>
      </c>
      <c r="G46" s="163" t="s">
        <v>160</v>
      </c>
      <c r="H46" s="164" t="s">
        <v>43</v>
      </c>
      <c r="L46" s="160"/>
      <c r="Q46" s="161"/>
    </row>
    <row r="47" spans="2:17" ht="20.100000000000001" customHeight="1" x14ac:dyDescent="0.25">
      <c r="B47" s="211">
        <f t="shared" ref="B47:B56" si="8">B15</f>
        <v>0</v>
      </c>
      <c r="C47" s="212"/>
      <c r="D47" s="213" t="e">
        <f t="shared" ref="D47:D57" si="9">C47/$C$57</f>
        <v>#DIV/0!</v>
      </c>
      <c r="E47" s="212"/>
      <c r="F47" s="213" t="e">
        <f t="shared" ref="F47:F57" si="10">E47/$E$57</f>
        <v>#DIV/0!</v>
      </c>
      <c r="G47" s="212"/>
      <c r="H47" s="213" t="e">
        <f t="shared" ref="H47:H57" si="11">G47/$G$57</f>
        <v>#DIV/0!</v>
      </c>
      <c r="L47" s="160"/>
      <c r="Q47" s="161"/>
    </row>
    <row r="48" spans="2:17" ht="20.100000000000001" customHeight="1" x14ac:dyDescent="0.25">
      <c r="B48" s="211">
        <f t="shared" si="8"/>
        <v>0</v>
      </c>
      <c r="C48" s="212"/>
      <c r="D48" s="213" t="e">
        <f t="shared" si="9"/>
        <v>#DIV/0!</v>
      </c>
      <c r="E48" s="214"/>
      <c r="F48" s="213" t="e">
        <f t="shared" si="10"/>
        <v>#DIV/0!</v>
      </c>
      <c r="G48" s="214"/>
      <c r="H48" s="213" t="e">
        <f t="shared" si="11"/>
        <v>#DIV/0!</v>
      </c>
      <c r="L48" s="160"/>
      <c r="Q48" s="161"/>
    </row>
    <row r="49" spans="1:17" ht="20.100000000000001" customHeight="1" x14ac:dyDescent="0.25">
      <c r="B49" s="211">
        <f t="shared" si="8"/>
        <v>0</v>
      </c>
      <c r="C49" s="212"/>
      <c r="D49" s="213" t="e">
        <f t="shared" si="9"/>
        <v>#DIV/0!</v>
      </c>
      <c r="E49" s="214"/>
      <c r="F49" s="213" t="e">
        <f t="shared" si="10"/>
        <v>#DIV/0!</v>
      </c>
      <c r="G49" s="214"/>
      <c r="H49" s="213" t="e">
        <f t="shared" si="11"/>
        <v>#DIV/0!</v>
      </c>
      <c r="L49" s="160"/>
      <c r="Q49" s="161"/>
    </row>
    <row r="50" spans="1:17" ht="20.100000000000001" customHeight="1" outlineLevel="1" x14ac:dyDescent="0.25">
      <c r="B50" s="211">
        <f t="shared" si="8"/>
        <v>0</v>
      </c>
      <c r="C50" s="212"/>
      <c r="D50" s="213" t="e">
        <f t="shared" si="9"/>
        <v>#DIV/0!</v>
      </c>
      <c r="E50" s="214"/>
      <c r="F50" s="213" t="e">
        <f t="shared" si="10"/>
        <v>#DIV/0!</v>
      </c>
      <c r="G50" s="214"/>
      <c r="H50" s="213" t="e">
        <f t="shared" si="11"/>
        <v>#DIV/0!</v>
      </c>
      <c r="L50" s="160"/>
      <c r="Q50" s="161"/>
    </row>
    <row r="51" spans="1:17" ht="20.100000000000001" customHeight="1" outlineLevel="1" x14ac:dyDescent="0.25">
      <c r="B51" s="211">
        <f t="shared" si="8"/>
        <v>0</v>
      </c>
      <c r="C51" s="212"/>
      <c r="D51" s="213" t="e">
        <f t="shared" si="9"/>
        <v>#DIV/0!</v>
      </c>
      <c r="E51" s="214"/>
      <c r="F51" s="213" t="e">
        <f t="shared" si="10"/>
        <v>#DIV/0!</v>
      </c>
      <c r="G51" s="214"/>
      <c r="H51" s="213" t="e">
        <f t="shared" si="11"/>
        <v>#DIV/0!</v>
      </c>
      <c r="L51" s="160"/>
      <c r="Q51" s="161"/>
    </row>
    <row r="52" spans="1:17" ht="20.100000000000001" customHeight="1" outlineLevel="1" x14ac:dyDescent="0.25">
      <c r="B52" s="211">
        <f t="shared" si="8"/>
        <v>0</v>
      </c>
      <c r="C52" s="212"/>
      <c r="D52" s="213" t="e">
        <f t="shared" si="9"/>
        <v>#DIV/0!</v>
      </c>
      <c r="E52" s="214"/>
      <c r="F52" s="213" t="e">
        <f t="shared" si="10"/>
        <v>#DIV/0!</v>
      </c>
      <c r="G52" s="214"/>
      <c r="H52" s="213" t="e">
        <f t="shared" si="11"/>
        <v>#DIV/0!</v>
      </c>
      <c r="L52" s="160"/>
      <c r="Q52" s="161"/>
    </row>
    <row r="53" spans="1:17" ht="20.100000000000001" customHeight="1" outlineLevel="1" x14ac:dyDescent="0.25">
      <c r="B53" s="211">
        <f t="shared" si="8"/>
        <v>0</v>
      </c>
      <c r="C53" s="212"/>
      <c r="D53" s="213" t="e">
        <f t="shared" si="9"/>
        <v>#DIV/0!</v>
      </c>
      <c r="E53" s="214"/>
      <c r="F53" s="213" t="e">
        <f t="shared" si="10"/>
        <v>#DIV/0!</v>
      </c>
      <c r="G53" s="214"/>
      <c r="H53" s="213" t="e">
        <f t="shared" si="11"/>
        <v>#DIV/0!</v>
      </c>
      <c r="L53" s="160"/>
      <c r="Q53" s="161"/>
    </row>
    <row r="54" spans="1:17" ht="20.100000000000001" customHeight="1" outlineLevel="1" x14ac:dyDescent="0.25">
      <c r="B54" s="211">
        <f t="shared" si="8"/>
        <v>0</v>
      </c>
      <c r="C54" s="212"/>
      <c r="D54" s="213" t="e">
        <f t="shared" si="9"/>
        <v>#DIV/0!</v>
      </c>
      <c r="E54" s="214"/>
      <c r="F54" s="213" t="e">
        <f t="shared" si="10"/>
        <v>#DIV/0!</v>
      </c>
      <c r="G54" s="214"/>
      <c r="H54" s="213" t="e">
        <f t="shared" si="11"/>
        <v>#DIV/0!</v>
      </c>
      <c r="L54" s="160"/>
      <c r="Q54" s="161"/>
    </row>
    <row r="55" spans="1:17" ht="20.100000000000001" customHeight="1" outlineLevel="1" x14ac:dyDescent="0.25">
      <c r="B55" s="211">
        <f t="shared" si="8"/>
        <v>0</v>
      </c>
      <c r="C55" s="212"/>
      <c r="D55" s="213" t="e">
        <f t="shared" si="9"/>
        <v>#DIV/0!</v>
      </c>
      <c r="E55" s="214"/>
      <c r="F55" s="213" t="e">
        <f t="shared" si="10"/>
        <v>#DIV/0!</v>
      </c>
      <c r="G55" s="214"/>
      <c r="H55" s="213" t="e">
        <f t="shared" si="11"/>
        <v>#DIV/0!</v>
      </c>
      <c r="L55" s="160"/>
      <c r="Q55" s="161"/>
    </row>
    <row r="56" spans="1:17" ht="20.100000000000001" customHeight="1" x14ac:dyDescent="0.25">
      <c r="B56" s="215">
        <f t="shared" si="8"/>
        <v>0</v>
      </c>
      <c r="C56" s="216"/>
      <c r="D56" s="217" t="e">
        <f t="shared" si="9"/>
        <v>#DIV/0!</v>
      </c>
      <c r="E56" s="218"/>
      <c r="F56" s="217" t="e">
        <f t="shared" si="10"/>
        <v>#DIV/0!</v>
      </c>
      <c r="G56" s="218"/>
      <c r="H56" s="217" t="e">
        <f t="shared" si="11"/>
        <v>#DIV/0!</v>
      </c>
      <c r="L56" s="160"/>
      <c r="Q56" s="161"/>
    </row>
    <row r="57" spans="1:17" ht="20.100000000000001" customHeight="1" x14ac:dyDescent="0.25">
      <c r="B57" s="219" t="s">
        <v>161</v>
      </c>
      <c r="C57" s="220">
        <f>SUM(C47:C56)</f>
        <v>0</v>
      </c>
      <c r="D57" s="221" t="e">
        <f t="shared" si="9"/>
        <v>#DIV/0!</v>
      </c>
      <c r="E57" s="219">
        <f>SUM(E47:E56)</f>
        <v>0</v>
      </c>
      <c r="F57" s="222" t="e">
        <f t="shared" si="10"/>
        <v>#DIV/0!</v>
      </c>
      <c r="G57" s="223">
        <f>SUM(G47:G56)</f>
        <v>0</v>
      </c>
      <c r="H57" s="221" t="e">
        <f t="shared" si="11"/>
        <v>#DIV/0!</v>
      </c>
      <c r="L57" s="160"/>
      <c r="Q57" s="161"/>
    </row>
    <row r="58" spans="1:17" x14ac:dyDescent="0.25">
      <c r="B58" s="224"/>
      <c r="C58" s="225"/>
      <c r="D58" s="226"/>
      <c r="E58" s="225"/>
      <c r="F58" s="226"/>
      <c r="G58" s="225"/>
      <c r="H58" s="226"/>
      <c r="L58" s="160"/>
      <c r="Q58" s="161"/>
    </row>
    <row r="59" spans="1:17" x14ac:dyDescent="0.25">
      <c r="C59" s="208" t="s">
        <v>162</v>
      </c>
      <c r="D59" s="225"/>
      <c r="E59" s="227"/>
      <c r="F59" s="228">
        <f>(100+(100*E59))/100</f>
        <v>1</v>
      </c>
      <c r="G59" s="227"/>
      <c r="H59" s="228">
        <f>(100+(100*(E59+G59)))/100</f>
        <v>1</v>
      </c>
      <c r="L59" s="160"/>
      <c r="Q59" s="161"/>
    </row>
    <row r="60" spans="1:17" x14ac:dyDescent="0.25">
      <c r="B60" s="191"/>
      <c r="C60" s="150"/>
      <c r="D60" s="150"/>
      <c r="E60" s="229"/>
      <c r="F60" s="229"/>
      <c r="G60" s="230"/>
      <c r="H60" s="231"/>
      <c r="I60" s="230"/>
      <c r="J60" s="231"/>
      <c r="L60" s="160"/>
      <c r="Q60" s="161"/>
    </row>
    <row r="61" spans="1:17" x14ac:dyDescent="0.25">
      <c r="B61" s="208" t="s">
        <v>163</v>
      </c>
      <c r="C61" s="150"/>
      <c r="D61" s="150"/>
      <c r="E61" s="229"/>
      <c r="F61" s="229"/>
      <c r="G61" s="230"/>
      <c r="H61" s="231"/>
      <c r="I61" s="230"/>
      <c r="J61" s="231"/>
      <c r="L61" s="160"/>
      <c r="Q61" s="161"/>
    </row>
    <row r="62" spans="1:17" ht="15.75" x14ac:dyDescent="0.25">
      <c r="B62" s="232" t="s">
        <v>155</v>
      </c>
      <c r="C62" s="295" t="s">
        <v>156</v>
      </c>
      <c r="D62" s="296"/>
      <c r="E62" s="295" t="s">
        <v>157</v>
      </c>
      <c r="F62" s="296"/>
      <c r="G62" s="295" t="s">
        <v>158</v>
      </c>
      <c r="H62" s="296"/>
      <c r="L62" s="160"/>
      <c r="Q62" s="161"/>
    </row>
    <row r="63" spans="1:17" ht="15.75" x14ac:dyDescent="0.25">
      <c r="A63" t="s">
        <v>164</v>
      </c>
      <c r="B63" s="233" t="s">
        <v>159</v>
      </c>
      <c r="C63" s="163" t="s">
        <v>165</v>
      </c>
      <c r="D63" s="164" t="s">
        <v>43</v>
      </c>
      <c r="E63" s="163" t="s">
        <v>165</v>
      </c>
      <c r="F63" s="164" t="s">
        <v>43</v>
      </c>
      <c r="G63" s="234" t="s">
        <v>165</v>
      </c>
      <c r="H63" s="164" t="s">
        <v>43</v>
      </c>
      <c r="L63" s="160"/>
      <c r="Q63" s="161"/>
    </row>
    <row r="64" spans="1:17" ht="20.100000000000001" customHeight="1" x14ac:dyDescent="0.25">
      <c r="A64">
        <f t="shared" ref="A64:A73" si="12">A15</f>
        <v>0</v>
      </c>
      <c r="B64" s="235">
        <f t="shared" ref="B64:B73" si="13">B15</f>
        <v>0</v>
      </c>
      <c r="C64" s="236">
        <f t="shared" ref="C64:C73" si="14">D15*C47</f>
        <v>0</v>
      </c>
      <c r="D64" s="237" t="e">
        <f>C64/$C$75</f>
        <v>#DIV/0!</v>
      </c>
      <c r="E64" s="236">
        <f t="shared" ref="E64:E73" si="15">D15*$F$59*E47</f>
        <v>0</v>
      </c>
      <c r="F64" s="237" t="e">
        <f t="shared" ref="F64:F75" si="16">E64/$E$75</f>
        <v>#DIV/0!</v>
      </c>
      <c r="G64" s="238">
        <f t="shared" ref="G64:G73" si="17">D15*$H$59*G47</f>
        <v>0</v>
      </c>
      <c r="H64" s="237" t="e">
        <f t="shared" ref="H64:H75" si="18">G64/$G$75</f>
        <v>#DIV/0!</v>
      </c>
      <c r="L64" s="160"/>
      <c r="Q64" s="161"/>
    </row>
    <row r="65" spans="1:17" ht="20.100000000000001" customHeight="1" x14ac:dyDescent="0.25">
      <c r="A65">
        <f t="shared" si="12"/>
        <v>0</v>
      </c>
      <c r="B65" s="211">
        <f t="shared" si="13"/>
        <v>0</v>
      </c>
      <c r="C65" s="239">
        <f t="shared" si="14"/>
        <v>0</v>
      </c>
      <c r="D65" s="213" t="e">
        <f t="shared" ref="D65:D75" si="19">C65/$C$75</f>
        <v>#DIV/0!</v>
      </c>
      <c r="E65" s="239">
        <f t="shared" si="15"/>
        <v>0</v>
      </c>
      <c r="F65" s="213" t="e">
        <f t="shared" si="16"/>
        <v>#DIV/0!</v>
      </c>
      <c r="G65" s="240">
        <f t="shared" si="17"/>
        <v>0</v>
      </c>
      <c r="H65" s="213" t="e">
        <f t="shared" si="18"/>
        <v>#DIV/0!</v>
      </c>
      <c r="L65" s="160"/>
      <c r="Q65" s="161"/>
    </row>
    <row r="66" spans="1:17" ht="20.100000000000001" customHeight="1" x14ac:dyDescent="0.25">
      <c r="A66">
        <f t="shared" si="12"/>
        <v>0</v>
      </c>
      <c r="B66" s="211">
        <f t="shared" si="13"/>
        <v>0</v>
      </c>
      <c r="C66" s="239">
        <f t="shared" si="14"/>
        <v>0</v>
      </c>
      <c r="D66" s="213" t="e">
        <f t="shared" si="19"/>
        <v>#DIV/0!</v>
      </c>
      <c r="E66" s="239">
        <f t="shared" si="15"/>
        <v>0</v>
      </c>
      <c r="F66" s="213" t="e">
        <f t="shared" si="16"/>
        <v>#DIV/0!</v>
      </c>
      <c r="G66" s="240">
        <f t="shared" si="17"/>
        <v>0</v>
      </c>
      <c r="H66" s="213" t="e">
        <f t="shared" si="18"/>
        <v>#DIV/0!</v>
      </c>
      <c r="L66" s="160"/>
      <c r="Q66" s="161"/>
    </row>
    <row r="67" spans="1:17" ht="20.100000000000001" customHeight="1" outlineLevel="1" x14ac:dyDescent="0.25">
      <c r="A67">
        <f t="shared" si="12"/>
        <v>0</v>
      </c>
      <c r="B67" s="211">
        <f t="shared" si="13"/>
        <v>0</v>
      </c>
      <c r="C67" s="239">
        <f t="shared" si="14"/>
        <v>0</v>
      </c>
      <c r="D67" s="213" t="e">
        <f t="shared" si="19"/>
        <v>#DIV/0!</v>
      </c>
      <c r="E67" s="239">
        <f t="shared" si="15"/>
        <v>0</v>
      </c>
      <c r="F67" s="213" t="e">
        <f t="shared" si="16"/>
        <v>#DIV/0!</v>
      </c>
      <c r="G67" s="240">
        <f t="shared" si="17"/>
        <v>0</v>
      </c>
      <c r="H67" s="213" t="e">
        <f t="shared" si="18"/>
        <v>#DIV/0!</v>
      </c>
      <c r="L67" s="160"/>
      <c r="Q67" s="161"/>
    </row>
    <row r="68" spans="1:17" ht="20.100000000000001" customHeight="1" outlineLevel="1" x14ac:dyDescent="0.25">
      <c r="A68">
        <f t="shared" si="12"/>
        <v>0</v>
      </c>
      <c r="B68" s="211">
        <f t="shared" si="13"/>
        <v>0</v>
      </c>
      <c r="C68" s="239">
        <f t="shared" si="14"/>
        <v>0</v>
      </c>
      <c r="D68" s="213" t="e">
        <f t="shared" si="19"/>
        <v>#DIV/0!</v>
      </c>
      <c r="E68" s="239">
        <f t="shared" si="15"/>
        <v>0</v>
      </c>
      <c r="F68" s="213" t="e">
        <f t="shared" si="16"/>
        <v>#DIV/0!</v>
      </c>
      <c r="G68" s="240">
        <f t="shared" si="17"/>
        <v>0</v>
      </c>
      <c r="H68" s="213" t="e">
        <f t="shared" si="18"/>
        <v>#DIV/0!</v>
      </c>
      <c r="L68" s="160"/>
      <c r="Q68" s="161"/>
    </row>
    <row r="69" spans="1:17" ht="20.100000000000001" customHeight="1" outlineLevel="1" x14ac:dyDescent="0.25">
      <c r="A69">
        <f t="shared" si="12"/>
        <v>0</v>
      </c>
      <c r="B69" s="211">
        <f t="shared" si="13"/>
        <v>0</v>
      </c>
      <c r="C69" s="239">
        <f t="shared" si="14"/>
        <v>0</v>
      </c>
      <c r="D69" s="213" t="e">
        <f t="shared" si="19"/>
        <v>#DIV/0!</v>
      </c>
      <c r="E69" s="239">
        <f t="shared" si="15"/>
        <v>0</v>
      </c>
      <c r="F69" s="213" t="e">
        <f t="shared" si="16"/>
        <v>#DIV/0!</v>
      </c>
      <c r="G69" s="240">
        <f t="shared" si="17"/>
        <v>0</v>
      </c>
      <c r="H69" s="213" t="e">
        <f t="shared" si="18"/>
        <v>#DIV/0!</v>
      </c>
      <c r="L69" s="160"/>
      <c r="Q69" s="161"/>
    </row>
    <row r="70" spans="1:17" ht="20.100000000000001" customHeight="1" outlineLevel="1" x14ac:dyDescent="0.25">
      <c r="A70">
        <f t="shared" si="12"/>
        <v>0</v>
      </c>
      <c r="B70" s="211">
        <f t="shared" si="13"/>
        <v>0</v>
      </c>
      <c r="C70" s="239">
        <f t="shared" si="14"/>
        <v>0</v>
      </c>
      <c r="D70" s="213" t="e">
        <f t="shared" si="19"/>
        <v>#DIV/0!</v>
      </c>
      <c r="E70" s="239">
        <f t="shared" si="15"/>
        <v>0</v>
      </c>
      <c r="F70" s="213" t="e">
        <f t="shared" si="16"/>
        <v>#DIV/0!</v>
      </c>
      <c r="G70" s="240">
        <f t="shared" si="17"/>
        <v>0</v>
      </c>
      <c r="H70" s="213" t="e">
        <f t="shared" si="18"/>
        <v>#DIV/0!</v>
      </c>
      <c r="L70" s="160"/>
      <c r="Q70" s="161"/>
    </row>
    <row r="71" spans="1:17" ht="20.100000000000001" customHeight="1" outlineLevel="1" x14ac:dyDescent="0.25">
      <c r="A71">
        <f t="shared" si="12"/>
        <v>0</v>
      </c>
      <c r="B71" s="211">
        <f t="shared" si="13"/>
        <v>0</v>
      </c>
      <c r="C71" s="239">
        <f t="shared" si="14"/>
        <v>0</v>
      </c>
      <c r="D71" s="213" t="e">
        <f t="shared" si="19"/>
        <v>#DIV/0!</v>
      </c>
      <c r="E71" s="239">
        <f t="shared" si="15"/>
        <v>0</v>
      </c>
      <c r="F71" s="213" t="e">
        <f t="shared" si="16"/>
        <v>#DIV/0!</v>
      </c>
      <c r="G71" s="240">
        <f t="shared" si="17"/>
        <v>0</v>
      </c>
      <c r="H71" s="213" t="e">
        <f t="shared" si="18"/>
        <v>#DIV/0!</v>
      </c>
      <c r="L71" s="160"/>
      <c r="Q71" s="161"/>
    </row>
    <row r="72" spans="1:17" ht="20.100000000000001" customHeight="1" outlineLevel="1" x14ac:dyDescent="0.25">
      <c r="A72">
        <f t="shared" si="12"/>
        <v>0</v>
      </c>
      <c r="B72" s="211">
        <f t="shared" si="13"/>
        <v>0</v>
      </c>
      <c r="C72" s="239">
        <f t="shared" si="14"/>
        <v>0</v>
      </c>
      <c r="D72" s="213" t="e">
        <f t="shared" si="19"/>
        <v>#DIV/0!</v>
      </c>
      <c r="E72" s="239">
        <f t="shared" si="15"/>
        <v>0</v>
      </c>
      <c r="F72" s="213" t="e">
        <f t="shared" si="16"/>
        <v>#DIV/0!</v>
      </c>
      <c r="G72" s="240">
        <f t="shared" si="17"/>
        <v>0</v>
      </c>
      <c r="H72" s="213" t="e">
        <f t="shared" si="18"/>
        <v>#DIV/0!</v>
      </c>
      <c r="L72" s="160"/>
      <c r="Q72" s="161"/>
    </row>
    <row r="73" spans="1:17" ht="20.100000000000001" customHeight="1" outlineLevel="1" x14ac:dyDescent="0.25">
      <c r="A73" t="str">
        <f t="shared" si="12"/>
        <v>OF</v>
      </c>
      <c r="B73" s="241">
        <f t="shared" si="13"/>
        <v>0</v>
      </c>
      <c r="C73" s="242">
        <f t="shared" si="14"/>
        <v>0</v>
      </c>
      <c r="D73" s="243" t="e">
        <f t="shared" si="19"/>
        <v>#DIV/0!</v>
      </c>
      <c r="E73" s="242">
        <f t="shared" si="15"/>
        <v>0</v>
      </c>
      <c r="F73" s="243" t="e">
        <f t="shared" si="16"/>
        <v>#DIV/0!</v>
      </c>
      <c r="G73" s="244">
        <f t="shared" si="17"/>
        <v>0</v>
      </c>
      <c r="H73" s="243" t="e">
        <f t="shared" si="18"/>
        <v>#DIV/0!</v>
      </c>
      <c r="L73" s="160"/>
      <c r="Q73" s="161"/>
    </row>
    <row r="74" spans="1:17" ht="20.100000000000001" customHeight="1" x14ac:dyDescent="0.25">
      <c r="B74" s="245" t="s">
        <v>166</v>
      </c>
      <c r="C74" s="246">
        <f>GETPIVOTDATA("valor.",Feuil1!$A$2,"Type","OF")</f>
        <v>0</v>
      </c>
      <c r="D74" s="247" t="e">
        <f t="shared" si="19"/>
        <v>#DIV/0!</v>
      </c>
      <c r="E74" s="246">
        <f>GETPIVOTDATA("Somme de valor.2",Feuil1!$A$2,"Type","OF")</f>
        <v>0</v>
      </c>
      <c r="F74" s="247" t="e">
        <f t="shared" si="16"/>
        <v>#DIV/0!</v>
      </c>
      <c r="G74" s="248">
        <f>GETPIVOTDATA("Somme de valor.3",Feuil1!$A$2,"Type","OF")</f>
        <v>0</v>
      </c>
      <c r="H74" s="247" t="e">
        <f t="shared" si="18"/>
        <v>#DIV/0!</v>
      </c>
      <c r="L74" s="160"/>
      <c r="Q74" s="161"/>
    </row>
    <row r="75" spans="1:17" ht="20.100000000000001" customHeight="1" thickBot="1" x14ac:dyDescent="0.3">
      <c r="B75" s="249" t="s">
        <v>161</v>
      </c>
      <c r="C75" s="250">
        <f>SUM(C64:C73)</f>
        <v>0</v>
      </c>
      <c r="D75" s="221" t="e">
        <f t="shared" si="19"/>
        <v>#DIV/0!</v>
      </c>
      <c r="E75" s="250">
        <f>SUM(E64:E73)</f>
        <v>0</v>
      </c>
      <c r="F75" s="221" t="e">
        <f t="shared" si="16"/>
        <v>#DIV/0!</v>
      </c>
      <c r="G75" s="251">
        <f>SUM(G64:G73)</f>
        <v>0</v>
      </c>
      <c r="H75" s="221" t="e">
        <f t="shared" si="18"/>
        <v>#DIV/0!</v>
      </c>
      <c r="L75" s="160"/>
      <c r="Q75" s="161"/>
    </row>
    <row r="76" spans="1:17" ht="20.100000000000001" customHeight="1" thickBot="1" x14ac:dyDescent="0.3">
      <c r="B76" s="294" t="s">
        <v>199</v>
      </c>
      <c r="C76" s="294"/>
      <c r="D76" s="294"/>
      <c r="E76" s="294"/>
      <c r="F76" s="229"/>
      <c r="G76" s="229"/>
      <c r="H76" s="150"/>
      <c r="L76" s="160"/>
      <c r="Q76" s="161"/>
    </row>
    <row r="77" spans="1:17" ht="20.100000000000001" customHeight="1" thickBot="1" x14ac:dyDescent="0.3">
      <c r="B77" s="208" t="s">
        <v>167</v>
      </c>
      <c r="C77" s="252">
        <f>CA_mini_tps!H22</f>
        <v>134.83146067415731</v>
      </c>
      <c r="D77" t="s">
        <v>168</v>
      </c>
      <c r="E77" s="253">
        <f>Mix_prix_presta!C77*CA_mini_tps!C10</f>
        <v>0</v>
      </c>
      <c r="H77" s="254"/>
      <c r="L77" s="160"/>
      <c r="Q77" s="161"/>
    </row>
    <row r="78" spans="1:17" ht="20.100000000000001" customHeight="1" x14ac:dyDescent="0.25">
      <c r="H78" s="255"/>
      <c r="L78" s="256"/>
      <c r="M78" s="257"/>
      <c r="N78" s="257"/>
      <c r="O78" s="257"/>
      <c r="P78" s="257"/>
      <c r="Q78" s="258"/>
    </row>
    <row r="79" spans="1:17" ht="23.65" customHeight="1" x14ac:dyDescent="0.25">
      <c r="B79" s="208" t="s">
        <v>169</v>
      </c>
      <c r="C79" s="259">
        <f>IF($C$30="",0,((C47*$C$30+C48*$C$31+C49*$C$32+C50*$C$33+C51*$C$34+C52*$C$35+C53*$C$36+C54*$C$37+C55*$C$38+C56*$C$39)/CA_mini_tps!$C$30))</f>
        <v>0</v>
      </c>
      <c r="D79" s="254"/>
      <c r="E79" s="259">
        <f>IF($C$30="",0,((E47*$C$30+E48*$C$31+E49*$C$32+E50*$C$33+E51*$C$34+E52*$C$35+E53*$C$36+E54*$C$37+E55*$C$38+E56*$C$39)/CA_mini_tps!$C$30))</f>
        <v>0</v>
      </c>
      <c r="F79" s="254"/>
      <c r="G79" s="259">
        <f>IF($C$30="",0,((G47*$C$30+G48*$C$31+G49*$C$32+G50*$C$33+G51*$C$34+G52*$C$35+G53*$C$36+G54*$C$37+G55*$C$38+G56*$C$39)/CA_mini_tps!$C$30))</f>
        <v>0</v>
      </c>
    </row>
    <row r="81" spans="3:3" x14ac:dyDescent="0.25">
      <c r="C81" t="s">
        <v>170</v>
      </c>
    </row>
  </sheetData>
  <mergeCells count="12">
    <mergeCell ref="L11:Q11"/>
    <mergeCell ref="I12:J12"/>
    <mergeCell ref="I13:J13"/>
    <mergeCell ref="G27:H27"/>
    <mergeCell ref="G28:H28"/>
    <mergeCell ref="B76:E76"/>
    <mergeCell ref="C45:D45"/>
    <mergeCell ref="E45:F45"/>
    <mergeCell ref="G45:H45"/>
    <mergeCell ref="C62:D62"/>
    <mergeCell ref="E62:F62"/>
    <mergeCell ref="G62:H62"/>
  </mergeCells>
  <conditionalFormatting sqref="C79 E79 G79">
    <cfRule type="cellIs" dxfId="2" priority="3" operator="greaterThan">
      <formula>"0.65"</formula>
    </cfRule>
  </conditionalFormatting>
  <conditionalFormatting sqref="C79">
    <cfRule type="cellIs" dxfId="1" priority="2" operator="greaterThan">
      <formula>0.65</formula>
    </cfRule>
  </conditionalFormatting>
  <conditionalFormatting sqref="E79 G79">
    <cfRule type="cellIs" dxfId="0" priority="1" operator="greaterThan">
      <formula>0.65</formula>
    </cfRule>
  </conditionalFormatting>
  <dataValidations count="1">
    <dataValidation type="list" allowBlank="1" showInputMessage="1" showErrorMessage="1" sqref="A15:A24" xr:uid="{00CB00AF-0016-4BD1-8721-0030004A00CF}">
      <formula1>$A$14</formula1>
    </dataValidation>
  </dataValidations>
  <pageMargins left="0.70866141732283472" right="0.70866141732283472" top="0.74803149606299213" bottom="0.74803149606299213" header="0.31496062992125984" footer="0.31496062992125984"/>
  <pageSetup paperSize="9" scale="42" firstPageNumber="4294967295"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5"/>
  <sheetViews>
    <sheetView workbookViewId="0">
      <selection activeCell="B4" sqref="B4"/>
    </sheetView>
  </sheetViews>
  <sheetFormatPr baseColWidth="10" defaultRowHeight="15" x14ac:dyDescent="0.25"/>
  <cols>
    <col min="1" max="1" width="19.5703125" bestFit="1" customWidth="1"/>
    <col min="2" max="2" width="15.28515625" bestFit="1" customWidth="1"/>
    <col min="3" max="4" width="16.28515625" bestFit="1" customWidth="1"/>
  </cols>
  <sheetData>
    <row r="2" spans="1:4" x14ac:dyDescent="0.25">
      <c r="A2" s="260" t="s">
        <v>171</v>
      </c>
      <c r="B2" t="s">
        <v>172</v>
      </c>
      <c r="C2" t="s">
        <v>200</v>
      </c>
      <c r="D2" t="s">
        <v>201</v>
      </c>
    </row>
    <row r="3" spans="1:4" x14ac:dyDescent="0.25">
      <c r="A3" s="2">
        <v>0</v>
      </c>
      <c r="B3">
        <v>0</v>
      </c>
      <c r="C3">
        <v>0</v>
      </c>
      <c r="D3">
        <v>0</v>
      </c>
    </row>
    <row r="4" spans="1:4" x14ac:dyDescent="0.25">
      <c r="A4" s="2" t="s">
        <v>133</v>
      </c>
      <c r="B4">
        <v>0</v>
      </c>
      <c r="C4">
        <v>0</v>
      </c>
      <c r="D4">
        <v>0</v>
      </c>
    </row>
    <row r="5" spans="1:4" x14ac:dyDescent="0.25">
      <c r="A5" s="2" t="s">
        <v>173</v>
      </c>
      <c r="B5">
        <v>0</v>
      </c>
      <c r="C5">
        <v>0</v>
      </c>
      <c r="D5">
        <v>0</v>
      </c>
    </row>
  </sheetData>
  <pageMargins left="0.7" right="0.7" top="0.75" bottom="0.75" header="0.3" footer="0.3"/>
  <pageSetup paperSize="9" firstPageNumber="4294967295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11:G32"/>
  <sheetViews>
    <sheetView zoomScale="90" workbookViewId="0">
      <selection activeCell="E8" sqref="E8"/>
    </sheetView>
  </sheetViews>
  <sheetFormatPr baseColWidth="10" defaultRowHeight="15" x14ac:dyDescent="0.25"/>
  <cols>
    <col min="2" max="2" width="38.5703125" customWidth="1"/>
    <col min="3" max="3" width="26.28515625" customWidth="1"/>
    <col min="4" max="4" width="40.28515625" customWidth="1"/>
    <col min="5" max="5" width="43.28515625" customWidth="1"/>
    <col min="6" max="6" width="42.28515625" customWidth="1"/>
    <col min="7" max="7" width="39.7109375" customWidth="1"/>
  </cols>
  <sheetData>
    <row r="11" spans="2:7" ht="20.25" x14ac:dyDescent="0.25">
      <c r="B11" s="148" t="s">
        <v>174</v>
      </c>
      <c r="D11" s="150"/>
      <c r="E11" s="150"/>
      <c r="F11" s="150"/>
    </row>
    <row r="12" spans="2:7" ht="18" x14ac:dyDescent="0.25">
      <c r="B12" s="149" t="s">
        <v>175</v>
      </c>
      <c r="C12" s="149"/>
      <c r="D12" s="150"/>
      <c r="E12" s="150"/>
      <c r="F12" s="150"/>
    </row>
    <row r="13" spans="2:7" ht="18" x14ac:dyDescent="0.25">
      <c r="B13" s="149"/>
      <c r="C13" s="149"/>
      <c r="D13" s="150"/>
      <c r="E13" s="150"/>
      <c r="F13" s="150"/>
    </row>
    <row r="14" spans="2:7" ht="15.75" x14ac:dyDescent="0.25">
      <c r="B14" s="152" t="s">
        <v>118</v>
      </c>
      <c r="C14" s="152" t="s">
        <v>119</v>
      </c>
      <c r="D14" s="151" t="s">
        <v>164</v>
      </c>
      <c r="E14" s="261" t="s">
        <v>176</v>
      </c>
      <c r="F14" s="151" t="s">
        <v>177</v>
      </c>
      <c r="G14" s="153" t="s">
        <v>178</v>
      </c>
    </row>
    <row r="15" spans="2:7" ht="15.75" x14ac:dyDescent="0.25">
      <c r="B15" s="158" t="s">
        <v>126</v>
      </c>
      <c r="C15" s="158" t="s">
        <v>127</v>
      </c>
      <c r="D15" s="157" t="s">
        <v>127</v>
      </c>
      <c r="E15" s="262" t="s">
        <v>127</v>
      </c>
      <c r="F15" s="157" t="s">
        <v>127</v>
      </c>
      <c r="G15" s="159" t="s">
        <v>179</v>
      </c>
    </row>
    <row r="16" spans="2:7" ht="15.75" x14ac:dyDescent="0.25">
      <c r="B16" s="163" t="s">
        <v>134</v>
      </c>
      <c r="C16" s="163" t="s">
        <v>135</v>
      </c>
      <c r="D16" s="162" t="s">
        <v>180</v>
      </c>
      <c r="E16" s="234" t="s">
        <v>135</v>
      </c>
      <c r="F16" s="162" t="s">
        <v>135</v>
      </c>
      <c r="G16" s="193" t="s">
        <v>181</v>
      </c>
    </row>
    <row r="17" spans="2:7" x14ac:dyDescent="0.25">
      <c r="B17" s="263" t="s">
        <v>182</v>
      </c>
      <c r="C17" s="167"/>
      <c r="D17" s="168"/>
      <c r="E17" s="169"/>
      <c r="F17" s="170"/>
      <c r="G17" s="264"/>
    </row>
    <row r="18" spans="2:7" x14ac:dyDescent="0.25">
      <c r="B18" s="265"/>
      <c r="C18" s="176"/>
      <c r="D18" s="177"/>
      <c r="E18" s="169"/>
      <c r="F18" s="170"/>
      <c r="G18" s="264"/>
    </row>
    <row r="19" spans="2:7" x14ac:dyDescent="0.25">
      <c r="B19" s="265"/>
      <c r="C19" s="176"/>
      <c r="D19" s="177"/>
      <c r="E19" s="169"/>
      <c r="F19" s="170"/>
      <c r="G19" s="264"/>
    </row>
    <row r="20" spans="2:7" x14ac:dyDescent="0.25">
      <c r="B20" s="266" t="s">
        <v>183</v>
      </c>
      <c r="C20" s="267"/>
      <c r="D20" s="268"/>
      <c r="E20" s="269"/>
      <c r="F20" s="270"/>
      <c r="G20" s="271"/>
    </row>
    <row r="21" spans="2:7" x14ac:dyDescent="0.25">
      <c r="B21" s="266"/>
      <c r="C21" s="267"/>
      <c r="D21" s="268"/>
      <c r="E21" s="269"/>
      <c r="F21" s="270"/>
      <c r="G21" s="271"/>
    </row>
    <row r="22" spans="2:7" x14ac:dyDescent="0.25">
      <c r="B22" s="266"/>
      <c r="C22" s="267"/>
      <c r="D22" s="268"/>
      <c r="E22" s="269"/>
      <c r="F22" s="270"/>
      <c r="G22" s="271"/>
    </row>
    <row r="23" spans="2:7" x14ac:dyDescent="0.25">
      <c r="B23" s="265" t="s">
        <v>184</v>
      </c>
      <c r="C23" s="176"/>
      <c r="D23" s="177"/>
      <c r="E23" s="169"/>
      <c r="F23" s="170"/>
      <c r="G23" s="264"/>
    </row>
    <row r="24" spans="2:7" x14ac:dyDescent="0.25">
      <c r="B24" s="265"/>
      <c r="C24" s="176"/>
      <c r="D24" s="177"/>
      <c r="E24" s="169"/>
      <c r="F24" s="170"/>
      <c r="G24" s="264"/>
    </row>
    <row r="25" spans="2:7" x14ac:dyDescent="0.25">
      <c r="B25" s="265"/>
      <c r="C25" s="176"/>
      <c r="D25" s="177"/>
      <c r="E25" s="169"/>
      <c r="F25" s="170"/>
      <c r="G25" s="264"/>
    </row>
    <row r="26" spans="2:7" x14ac:dyDescent="0.25">
      <c r="B26" s="266" t="s">
        <v>185</v>
      </c>
      <c r="C26" s="267"/>
      <c r="D26" s="268"/>
      <c r="E26" s="269"/>
      <c r="F26" s="270"/>
      <c r="G26" s="271"/>
    </row>
    <row r="27" spans="2:7" x14ac:dyDescent="0.25">
      <c r="B27" s="266"/>
      <c r="C27" s="267"/>
      <c r="D27" s="268"/>
      <c r="E27" s="269"/>
      <c r="F27" s="270"/>
      <c r="G27" s="271"/>
    </row>
    <row r="28" spans="2:7" x14ac:dyDescent="0.25">
      <c r="B28" s="266"/>
      <c r="C28" s="267"/>
      <c r="D28" s="268"/>
      <c r="E28" s="269"/>
      <c r="F28" s="270"/>
      <c r="G28" s="271"/>
    </row>
    <row r="29" spans="2:7" x14ac:dyDescent="0.25">
      <c r="B29" s="272" t="s">
        <v>186</v>
      </c>
      <c r="C29" s="273"/>
      <c r="D29" s="274"/>
      <c r="E29" s="275"/>
      <c r="F29" s="276"/>
      <c r="G29" s="277"/>
    </row>
    <row r="30" spans="2:7" x14ac:dyDescent="0.25">
      <c r="B30" s="272"/>
      <c r="C30" s="273"/>
      <c r="D30" s="274"/>
      <c r="E30" s="275"/>
      <c r="F30" s="276"/>
      <c r="G30" s="277"/>
    </row>
    <row r="31" spans="2:7" x14ac:dyDescent="0.25">
      <c r="B31" s="278"/>
      <c r="C31" s="184"/>
      <c r="D31" s="185"/>
      <c r="E31" s="279"/>
      <c r="F31" s="280"/>
      <c r="G31" s="281"/>
    </row>
    <row r="32" spans="2:7" x14ac:dyDescent="0.25"/>
  </sheetData>
  <pageMargins left="0.70866141732283472" right="0.70866141732283472" top="0.74803149606299213" bottom="0.74803149606299213" header="0.31496062992125984" footer="0.31496062992125984"/>
  <pageSetup paperSize="9" scale="46" firstPageNumber="4294967295" orientation="landscape" cellComments="asDisplayed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"/>
  </sheetPr>
  <dimension ref="A1:J5"/>
  <sheetViews>
    <sheetView zoomScale="130" workbookViewId="0">
      <selection activeCell="B4" sqref="B4"/>
    </sheetView>
  </sheetViews>
  <sheetFormatPr baseColWidth="10" defaultRowHeight="15" x14ac:dyDescent="0.25"/>
  <sheetData>
    <row r="1" spans="1:10" x14ac:dyDescent="0.25">
      <c r="G1" s="302" t="s">
        <v>187</v>
      </c>
      <c r="H1" s="302"/>
      <c r="J1" s="282" t="s">
        <v>188</v>
      </c>
    </row>
    <row r="2" spans="1:10" x14ac:dyDescent="0.25">
      <c r="G2" s="9" t="s">
        <v>189</v>
      </c>
      <c r="J2" s="282" t="s">
        <v>190</v>
      </c>
    </row>
    <row r="3" spans="1:10" x14ac:dyDescent="0.25">
      <c r="A3" s="9" t="s">
        <v>191</v>
      </c>
      <c r="G3" s="9" t="s">
        <v>192</v>
      </c>
      <c r="J3" s="282" t="s">
        <v>193</v>
      </c>
    </row>
    <row r="4" spans="1:10" x14ac:dyDescent="0.25">
      <c r="G4" s="9" t="s">
        <v>194</v>
      </c>
      <c r="J4" s="282" t="s">
        <v>195</v>
      </c>
    </row>
    <row r="5" spans="1:10" x14ac:dyDescent="0.25">
      <c r="G5" s="9" t="s">
        <v>189</v>
      </c>
      <c r="J5" s="282" t="s">
        <v>196</v>
      </c>
    </row>
  </sheetData>
  <mergeCells count="1">
    <mergeCell ref="G1:H1"/>
  </mergeCells>
  <hyperlinks>
    <hyperlink ref="J1" r:id="rId1" xr:uid="{00000000-0004-0000-0600-000000000000}"/>
    <hyperlink ref="J2" r:id="rId2" xr:uid="{00000000-0004-0000-0600-000001000000}"/>
    <hyperlink ref="J3" r:id="rId3" xr:uid="{00000000-0004-0000-0600-000002000000}"/>
    <hyperlink ref="J4" r:id="rId4" xr:uid="{00000000-0004-0000-0600-000003000000}"/>
    <hyperlink ref="J5" r:id="rId5" xr:uid="{00000000-0004-0000-0600-000004000000}"/>
  </hyperlinks>
  <pageMargins left="0.7" right="0.7" top="0.75" bottom="0.75" header="0.3" footer="0.3"/>
  <pageSetup paperSize="9" firstPageNumber="4294967295" orientation="portrait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Notice</vt:lpstr>
      <vt:lpstr>CA_mini_tps</vt:lpstr>
      <vt:lpstr>Frais_fct</vt:lpstr>
      <vt:lpstr>Mix_prix_presta</vt:lpstr>
      <vt:lpstr>Feuil1</vt:lpstr>
      <vt:lpstr>Grille de tarif</vt:lpstr>
      <vt:lpstr>Biblio1</vt:lpstr>
      <vt:lpstr>CA_mini_tps!Zone_d_impression</vt:lpstr>
      <vt:lpstr>'Grille de tarif'!Zone_d_impression</vt:lpstr>
      <vt:lpstr>Mix_prix_presta!Zone_d_impression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Pechkechian</dc:creator>
  <cp:lastModifiedBy>Michel Pechkechian</cp:lastModifiedBy>
  <cp:revision>1</cp:revision>
  <dcterms:created xsi:type="dcterms:W3CDTF">2026-03-05T13:42:21Z</dcterms:created>
  <dcterms:modified xsi:type="dcterms:W3CDTF">2026-03-05T13:52:23Z</dcterms:modified>
</cp:coreProperties>
</file>